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G:\EDWI Reports\ADD's\2024 ADD\"/>
    </mc:Choice>
  </mc:AlternateContent>
  <xr:revisionPtr revIDLastSave="0" documentId="8_{A76CC57A-15BA-410B-805F-3E017B7F441E}" xr6:coauthVersionLast="47" xr6:coauthVersionMax="47" xr10:uidLastSave="{00000000-0000-0000-0000-000000000000}"/>
  <bookViews>
    <workbookView xWindow="-120" yWindow="-120" windowWidth="29040" windowHeight="15720" activeTab="3" xr2:uid="{00000000-000D-0000-FFFF-FFFF00000000}"/>
  </bookViews>
  <sheets>
    <sheet name="Overall" sheetId="1" r:id="rId1"/>
    <sheet name="Aging" sheetId="2" r:id="rId2"/>
    <sheet name="Workforce" sheetId="3" r:id="rId3"/>
    <sheet name="Carryover (Reserves)" sheetId="4" r:id="rId4"/>
    <sheet name="Glossary" sheetId="5" r:id="rId5"/>
  </sheets>
  <definedNames>
    <definedName name="_xlnm.Print_Area" localSheetId="0">Overall!$A$1:$AR$36</definedName>
    <definedName name="_xlnm.Print_Titles" localSheetId="1">Aging!$A:$A</definedName>
    <definedName name="_xlnm.Print_Titles" localSheetId="0">Overall!$A:$A</definedName>
    <definedName name="_xlnm.Print_Titles" localSheetId="2">Workforce!$A:$A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33" i="2" l="1"/>
  <c r="J33" i="2"/>
  <c r="B33" i="2"/>
  <c r="P32" i="2"/>
  <c r="J32" i="2"/>
  <c r="B32" i="2"/>
  <c r="P33" i="1"/>
  <c r="J33" i="1"/>
  <c r="B33" i="1"/>
  <c r="P32" i="1"/>
  <c r="J32" i="1"/>
  <c r="B32" i="1"/>
  <c r="H6" i="3"/>
  <c r="H13" i="3" s="1"/>
  <c r="E13" i="3"/>
  <c r="G12" i="3"/>
  <c r="F12" i="3"/>
  <c r="G10" i="3"/>
  <c r="F10" i="3"/>
  <c r="E10" i="3"/>
  <c r="D10" i="3"/>
  <c r="C10" i="3"/>
  <c r="G9" i="3"/>
  <c r="G8" i="3"/>
  <c r="F8" i="3"/>
  <c r="E8" i="3"/>
  <c r="D8" i="3"/>
  <c r="C8" i="3"/>
  <c r="B8" i="3"/>
  <c r="G6" i="3"/>
  <c r="G13" i="3" s="1"/>
  <c r="F6" i="3"/>
  <c r="F13" i="3" s="1"/>
  <c r="E6" i="3"/>
  <c r="E12" i="3" s="1"/>
  <c r="D6" i="3"/>
  <c r="D12" i="3" s="1"/>
  <c r="C6" i="3"/>
  <c r="C12" i="3" s="1"/>
  <c r="B6" i="3"/>
  <c r="B10" i="3" s="1"/>
  <c r="W13" i="2"/>
  <c r="R13" i="2"/>
  <c r="O13" i="2"/>
  <c r="N13" i="2"/>
  <c r="M13" i="2"/>
  <c r="L13" i="2"/>
  <c r="C13" i="2"/>
  <c r="W12" i="2"/>
  <c r="V12" i="2"/>
  <c r="U12" i="2"/>
  <c r="R12" i="2"/>
  <c r="O12" i="2"/>
  <c r="N12" i="2"/>
  <c r="L12" i="2"/>
  <c r="J12" i="2"/>
  <c r="I12" i="2"/>
  <c r="H12" i="2"/>
  <c r="C12" i="2"/>
  <c r="Q11" i="2"/>
  <c r="P11" i="2"/>
  <c r="K11" i="2"/>
  <c r="G11" i="2"/>
  <c r="G12" i="2" s="1"/>
  <c r="E11" i="2"/>
  <c r="D11" i="2"/>
  <c r="D12" i="2" s="1"/>
  <c r="B11" i="2"/>
  <c r="R10" i="2"/>
  <c r="O10" i="2"/>
  <c r="N10" i="2"/>
  <c r="L10" i="2"/>
  <c r="C10" i="2"/>
  <c r="W9" i="2"/>
  <c r="W10" i="2" s="1"/>
  <c r="V9" i="2"/>
  <c r="V10" i="2" s="1"/>
  <c r="U9" i="2"/>
  <c r="T9" i="2"/>
  <c r="S9" i="2"/>
  <c r="R9" i="2"/>
  <c r="Q9" i="2"/>
  <c r="P9" i="2"/>
  <c r="O9" i="2"/>
  <c r="K9" i="2"/>
  <c r="I9" i="2"/>
  <c r="I10" i="2" s="1"/>
  <c r="H9" i="2"/>
  <c r="H10" i="2" s="1"/>
  <c r="G9" i="2"/>
  <c r="G10" i="2" s="1"/>
  <c r="D9" i="2"/>
  <c r="D10" i="2" s="1"/>
  <c r="C9" i="2"/>
  <c r="B9" i="2"/>
  <c r="R8" i="2"/>
  <c r="O8" i="2"/>
  <c r="N8" i="2"/>
  <c r="C8" i="2"/>
  <c r="Q7" i="2"/>
  <c r="P7" i="2"/>
  <c r="K7" i="2"/>
  <c r="G7" i="2"/>
  <c r="F7" i="2"/>
  <c r="E7" i="2"/>
  <c r="D7" i="2"/>
  <c r="B7" i="2"/>
  <c r="W6" i="2"/>
  <c r="W8" i="2" s="1"/>
  <c r="V6" i="2"/>
  <c r="V13" i="2" s="1"/>
  <c r="U6" i="2"/>
  <c r="U13" i="2" s="1"/>
  <c r="T6" i="2"/>
  <c r="T12" i="2" s="1"/>
  <c r="S6" i="2"/>
  <c r="S12" i="2" s="1"/>
  <c r="R6" i="2"/>
  <c r="O6" i="2"/>
  <c r="N6" i="2"/>
  <c r="L6" i="2"/>
  <c r="L8" i="2" s="1"/>
  <c r="J6" i="2"/>
  <c r="J13" i="2" s="1"/>
  <c r="I6" i="2"/>
  <c r="I13" i="2" s="1"/>
  <c r="H6" i="2"/>
  <c r="H13" i="2" s="1"/>
  <c r="G6" i="2"/>
  <c r="G13" i="2" s="1"/>
  <c r="F6" i="2"/>
  <c r="F12" i="2" s="1"/>
  <c r="C6" i="2"/>
  <c r="P5" i="2"/>
  <c r="K5" i="2"/>
  <c r="E5" i="2"/>
  <c r="D5" i="2"/>
  <c r="B5" i="2"/>
  <c r="Q4" i="2"/>
  <c r="Q6" i="2" s="1"/>
  <c r="P4" i="2"/>
  <c r="P6" i="2" s="1"/>
  <c r="K4" i="2"/>
  <c r="K6" i="2" s="1"/>
  <c r="K13" i="2" s="1"/>
  <c r="I4" i="2"/>
  <c r="G4" i="2"/>
  <c r="E4" i="2"/>
  <c r="E6" i="2" s="1"/>
  <c r="D4" i="2"/>
  <c r="D6" i="2" s="1"/>
  <c r="B4" i="2"/>
  <c r="B6" i="2" s="1"/>
  <c r="AJ9" i="1"/>
  <c r="AJ4" i="1"/>
  <c r="AB9" i="1"/>
  <c r="AA9" i="1"/>
  <c r="H8" i="3" l="1"/>
  <c r="H10" i="3"/>
  <c r="H12" i="3"/>
  <c r="D13" i="3"/>
  <c r="B12" i="3"/>
  <c r="B13" i="3"/>
  <c r="C13" i="3"/>
  <c r="P12" i="2"/>
  <c r="Q12" i="2"/>
  <c r="K8" i="2"/>
  <c r="Q8" i="2"/>
  <c r="E13" i="2"/>
  <c r="E10" i="2"/>
  <c r="E8" i="2"/>
  <c r="E12" i="2"/>
  <c r="K12" i="2"/>
  <c r="P13" i="2"/>
  <c r="P10" i="2"/>
  <c r="P8" i="2"/>
  <c r="Q13" i="2"/>
  <c r="Q10" i="2"/>
  <c r="K10" i="2"/>
  <c r="B12" i="2"/>
  <c r="B13" i="2"/>
  <c r="B10" i="2"/>
  <c r="B8" i="2"/>
  <c r="D13" i="2"/>
  <c r="D8" i="2"/>
  <c r="F8" i="2"/>
  <c r="S8" i="2"/>
  <c r="G8" i="2"/>
  <c r="T8" i="2"/>
  <c r="F10" i="2"/>
  <c r="S10" i="2"/>
  <c r="H8" i="2"/>
  <c r="U8" i="2"/>
  <c r="T10" i="2"/>
  <c r="F13" i="2"/>
  <c r="I8" i="2"/>
  <c r="V8" i="2"/>
  <c r="U10" i="2"/>
  <c r="S13" i="2"/>
  <c r="J8" i="2"/>
  <c r="T13" i="2"/>
  <c r="J10" i="2"/>
  <c r="W9" i="1"/>
  <c r="U9" i="1" l="1"/>
  <c r="S9" i="1"/>
  <c r="V9" i="1"/>
  <c r="T9" i="1"/>
  <c r="R9" i="1"/>
  <c r="Q11" i="1"/>
  <c r="Q9" i="1"/>
  <c r="Q7" i="1"/>
  <c r="Q4" i="1"/>
  <c r="P11" i="1" l="1"/>
  <c r="P9" i="1"/>
  <c r="P7" i="1"/>
  <c r="P5" i="1"/>
  <c r="P4" i="1"/>
  <c r="O9" i="1" l="1"/>
  <c r="K11" i="1"/>
  <c r="K9" i="1"/>
  <c r="K7" i="1"/>
  <c r="K5" i="1"/>
  <c r="K4" i="1"/>
  <c r="B5" i="1" l="1"/>
  <c r="B9" i="1"/>
  <c r="B7" i="1"/>
  <c r="B4" i="1"/>
  <c r="I9" i="1" l="1"/>
  <c r="I4" i="1"/>
  <c r="H9" i="1"/>
  <c r="G9" i="1"/>
  <c r="G11" i="1"/>
  <c r="G4" i="1"/>
  <c r="G7" i="1"/>
  <c r="F7" i="1" l="1"/>
  <c r="E13" i="1"/>
  <c r="E4" i="1"/>
  <c r="E11" i="1"/>
  <c r="E7" i="1"/>
  <c r="E5" i="1"/>
  <c r="D11" i="1" l="1"/>
  <c r="D9" i="1"/>
  <c r="D7" i="1"/>
  <c r="D5" i="1"/>
  <c r="D4" i="1"/>
  <c r="C9" i="1" l="1"/>
  <c r="B11" i="1"/>
  <c r="X7" i="2" l="1"/>
  <c r="X6" i="2"/>
  <c r="X8" i="2"/>
  <c r="X5" i="2"/>
  <c r="X9" i="2"/>
  <c r="X10" i="2"/>
  <c r="X11" i="2"/>
  <c r="X12" i="2"/>
  <c r="X13" i="2"/>
  <c r="X4" i="2"/>
  <c r="M13" i="1" l="1"/>
  <c r="AD13" i="1" l="1"/>
  <c r="AQ9" i="1" l="1"/>
  <c r="AQ6" i="1"/>
  <c r="AQ13" i="1" s="1"/>
  <c r="AT6" i="1" l="1"/>
  <c r="AT13" i="1" s="1"/>
  <c r="AS6" i="1"/>
  <c r="AS8" i="1" s="1"/>
  <c r="AT10" i="1" l="1"/>
  <c r="AT8" i="1"/>
  <c r="AT12" i="1"/>
  <c r="AS10" i="1"/>
  <c r="AS12" i="1"/>
  <c r="AS13" i="1"/>
  <c r="B6" i="1" l="1"/>
  <c r="B10" i="1" l="1"/>
  <c r="B13" i="1"/>
  <c r="B12" i="1"/>
  <c r="B8" i="1"/>
  <c r="AH6" i="1" l="1"/>
  <c r="W6" i="1" l="1"/>
  <c r="V6" i="1"/>
  <c r="U6" i="1"/>
  <c r="T6" i="1"/>
  <c r="S6" i="1"/>
  <c r="R6" i="1"/>
  <c r="Q6" i="1"/>
  <c r="O6" i="1"/>
  <c r="O13" i="1" s="1"/>
  <c r="N6" i="1"/>
  <c r="P6" i="1"/>
  <c r="P13" i="1" s="1"/>
  <c r="J6" i="1"/>
  <c r="I6" i="1"/>
  <c r="I10" i="1" s="1"/>
  <c r="H6" i="1"/>
  <c r="C6" i="1"/>
  <c r="L6" i="1"/>
  <c r="L13" i="1" s="1"/>
  <c r="K6" i="1"/>
  <c r="K13" i="1" s="1"/>
  <c r="G6" i="1"/>
  <c r="F6" i="1"/>
  <c r="F13" i="1" s="1"/>
  <c r="E6" i="1"/>
  <c r="D6" i="1"/>
  <c r="D13" i="1" s="1"/>
  <c r="N8" i="1" l="1"/>
  <c r="N13" i="1"/>
  <c r="J8" i="1"/>
  <c r="J13" i="1"/>
  <c r="C8" i="1"/>
  <c r="C13" i="1"/>
  <c r="W10" i="1"/>
  <c r="W13" i="1"/>
  <c r="S12" i="1"/>
  <c r="S13" i="1"/>
  <c r="S10" i="1"/>
  <c r="U8" i="1"/>
  <c r="U13" i="1"/>
  <c r="V12" i="1"/>
  <c r="V13" i="1"/>
  <c r="T8" i="1"/>
  <c r="T13" i="1"/>
  <c r="R12" i="1"/>
  <c r="R13" i="1"/>
  <c r="Q12" i="1"/>
  <c r="Q13" i="1"/>
  <c r="O10" i="1"/>
  <c r="I8" i="1"/>
  <c r="I13" i="1"/>
  <c r="H12" i="1"/>
  <c r="H13" i="1"/>
  <c r="G10" i="1"/>
  <c r="G13" i="1"/>
  <c r="E12" i="1"/>
  <c r="W8" i="1"/>
  <c r="W12" i="1"/>
  <c r="J12" i="1"/>
  <c r="Q8" i="1"/>
  <c r="O8" i="1"/>
  <c r="R8" i="1"/>
  <c r="P10" i="1"/>
  <c r="T10" i="1"/>
  <c r="J10" i="1"/>
  <c r="R10" i="1"/>
  <c r="V8" i="1"/>
  <c r="U10" i="1"/>
  <c r="N10" i="1"/>
  <c r="G8" i="1"/>
  <c r="C10" i="1"/>
  <c r="I12" i="1"/>
  <c r="V10" i="1"/>
  <c r="S8" i="1"/>
  <c r="T12" i="1"/>
  <c r="U12" i="1"/>
  <c r="P8" i="1"/>
  <c r="P12" i="1"/>
  <c r="Q10" i="1"/>
  <c r="N12" i="1"/>
  <c r="O12" i="1"/>
  <c r="F8" i="1"/>
  <c r="F12" i="1"/>
  <c r="F10" i="1"/>
  <c r="G12" i="1"/>
  <c r="D8" i="1"/>
  <c r="D10" i="1"/>
  <c r="D12" i="1"/>
  <c r="K8" i="1"/>
  <c r="K10" i="1"/>
  <c r="K12" i="1"/>
  <c r="L10" i="1"/>
  <c r="L8" i="1"/>
  <c r="L12" i="1"/>
  <c r="E8" i="1"/>
  <c r="E10" i="1"/>
  <c r="H8" i="1"/>
  <c r="H10" i="1"/>
  <c r="C12" i="1"/>
  <c r="AL6" i="1" l="1"/>
  <c r="AL13" i="1" s="1"/>
  <c r="AI6" i="1" l="1"/>
  <c r="AH8" i="1" l="1"/>
  <c r="AG6" i="1"/>
  <c r="AG13" i="1" s="1"/>
  <c r="AF6" i="1"/>
  <c r="AF8" i="1" s="1"/>
  <c r="AF10" i="1" l="1"/>
  <c r="AF12" i="1"/>
  <c r="AH10" i="1"/>
  <c r="AH12" i="1"/>
  <c r="AH13" i="1"/>
  <c r="AG8" i="1"/>
  <c r="AG10" i="1"/>
  <c r="AG12" i="1"/>
  <c r="AF13" i="1"/>
  <c r="AR6" i="1" l="1"/>
  <c r="AR10" i="1" s="1"/>
  <c r="AP6" i="1"/>
  <c r="AP12" i="1" s="1"/>
  <c r="AO6" i="1"/>
  <c r="AN6" i="1"/>
  <c r="AN10" i="1" s="1"/>
  <c r="AM6" i="1"/>
  <c r="AL12" i="1"/>
  <c r="AK6" i="1"/>
  <c r="AK13" i="1" s="1"/>
  <c r="AJ6" i="1"/>
  <c r="AJ12" i="1" s="1"/>
  <c r="AI12" i="1"/>
  <c r="AE6" i="1"/>
  <c r="AE8" i="1" s="1"/>
  <c r="AD6" i="1"/>
  <c r="AC6" i="1"/>
  <c r="AC10" i="1" s="1"/>
  <c r="AB6" i="1"/>
  <c r="AB12" i="1" s="1"/>
  <c r="AA6" i="1"/>
  <c r="AA13" i="1" s="1"/>
  <c r="Z6" i="1"/>
  <c r="Z10" i="1" s="1"/>
  <c r="Y6" i="1"/>
  <c r="Y8" i="1" s="1"/>
  <c r="X6" i="1"/>
  <c r="X12" i="1" s="1"/>
  <c r="C14" i="4"/>
  <c r="A6" i="3"/>
  <c r="A5" i="3"/>
  <c r="A6" i="2"/>
  <c r="A5" i="2"/>
  <c r="A7" i="2"/>
  <c r="H36" i="3"/>
  <c r="H30" i="3"/>
  <c r="H29" i="3"/>
  <c r="H28" i="3"/>
  <c r="H27" i="3"/>
  <c r="H26" i="3"/>
  <c r="H24" i="3"/>
  <c r="H22" i="3"/>
  <c r="H21" i="3"/>
  <c r="H20" i="3"/>
  <c r="H19" i="3"/>
  <c r="H18" i="3"/>
  <c r="H14" i="3"/>
  <c r="C26" i="3"/>
  <c r="D26" i="3"/>
  <c r="E26" i="3"/>
  <c r="F26" i="3"/>
  <c r="G26" i="3"/>
  <c r="C27" i="3"/>
  <c r="D27" i="3"/>
  <c r="E27" i="3"/>
  <c r="F27" i="3"/>
  <c r="G27" i="3"/>
  <c r="C28" i="3"/>
  <c r="D28" i="3"/>
  <c r="E28" i="3"/>
  <c r="F28" i="3"/>
  <c r="G28" i="3"/>
  <c r="C29" i="3"/>
  <c r="D29" i="3"/>
  <c r="E29" i="3"/>
  <c r="F29" i="3"/>
  <c r="G29" i="3"/>
  <c r="C30" i="3"/>
  <c r="D30" i="3"/>
  <c r="E30" i="3"/>
  <c r="F30" i="3"/>
  <c r="G30" i="3"/>
  <c r="B27" i="3"/>
  <c r="B28" i="3"/>
  <c r="B29" i="3"/>
  <c r="B30" i="3"/>
  <c r="B26" i="3"/>
  <c r="A26" i="3"/>
  <c r="G24" i="3"/>
  <c r="F24" i="3"/>
  <c r="E24" i="3"/>
  <c r="D24" i="3"/>
  <c r="C24" i="3"/>
  <c r="B24" i="3"/>
  <c r="A24" i="3"/>
  <c r="A32" i="3"/>
  <c r="A33" i="3"/>
  <c r="A34" i="3"/>
  <c r="G36" i="3"/>
  <c r="F36" i="3"/>
  <c r="E36" i="3"/>
  <c r="D36" i="3"/>
  <c r="C36" i="3"/>
  <c r="B36" i="3"/>
  <c r="B32" i="3"/>
  <c r="G22" i="3"/>
  <c r="F22" i="3"/>
  <c r="E22" i="3"/>
  <c r="D22" i="3"/>
  <c r="C22" i="3"/>
  <c r="B22" i="3"/>
  <c r="G21" i="3"/>
  <c r="F21" i="3"/>
  <c r="E21" i="3"/>
  <c r="D21" i="3"/>
  <c r="C21" i="3"/>
  <c r="B21" i="3"/>
  <c r="G20" i="3"/>
  <c r="F20" i="3"/>
  <c r="E20" i="3"/>
  <c r="D20" i="3"/>
  <c r="C20" i="3"/>
  <c r="B20" i="3"/>
  <c r="G19" i="3"/>
  <c r="F19" i="3"/>
  <c r="E19" i="3"/>
  <c r="D19" i="3"/>
  <c r="C19" i="3"/>
  <c r="B19" i="3"/>
  <c r="G18" i="3"/>
  <c r="F18" i="3"/>
  <c r="E18" i="3"/>
  <c r="D18" i="3"/>
  <c r="C18" i="3"/>
  <c r="B18" i="3"/>
  <c r="B16" i="3"/>
  <c r="G14" i="3"/>
  <c r="F14" i="3"/>
  <c r="E14" i="3"/>
  <c r="D14" i="3"/>
  <c r="C14" i="3"/>
  <c r="B14" i="3"/>
  <c r="A28" i="2"/>
  <c r="A25" i="2"/>
  <c r="A26" i="2"/>
  <c r="A24" i="2"/>
  <c r="A18" i="2"/>
  <c r="A16" i="2"/>
  <c r="A14" i="2"/>
  <c r="A13" i="2"/>
  <c r="A12" i="2"/>
  <c r="A8" i="2"/>
  <c r="A9" i="2"/>
  <c r="A10" i="2"/>
  <c r="A11" i="2"/>
  <c r="A4" i="2"/>
  <c r="A36" i="3"/>
  <c r="A18" i="3"/>
  <c r="A16" i="3"/>
  <c r="A13" i="3"/>
  <c r="A14" i="3"/>
  <c r="A7" i="3"/>
  <c r="A8" i="3"/>
  <c r="A9" i="3"/>
  <c r="A10" i="3"/>
  <c r="A11" i="3"/>
  <c r="A12" i="3"/>
  <c r="A4" i="3"/>
  <c r="AM13" i="1" l="1"/>
  <c r="AO13" i="1"/>
  <c r="AM10" i="1"/>
  <c r="AQ10" i="1"/>
  <c r="AO8" i="1"/>
  <c r="AM8" i="1"/>
  <c r="AQ8" i="1"/>
  <c r="AJ10" i="1"/>
  <c r="AO10" i="1"/>
  <c r="AM12" i="1"/>
  <c r="AQ12" i="1"/>
  <c r="AP13" i="1"/>
  <c r="AC8" i="1"/>
  <c r="AN8" i="1"/>
  <c r="AR8" i="1"/>
  <c r="AL10" i="1"/>
  <c r="AP10" i="1"/>
  <c r="AC12" i="1"/>
  <c r="AN12" i="1"/>
  <c r="AR12" i="1"/>
  <c r="AC13" i="1"/>
  <c r="AJ8" i="1"/>
  <c r="AK12" i="1"/>
  <c r="AO12" i="1"/>
  <c r="AI13" i="1"/>
  <c r="AN13" i="1"/>
  <c r="AR13" i="1"/>
  <c r="AL8" i="1"/>
  <c r="AP8" i="1"/>
  <c r="AD10" i="1"/>
  <c r="AJ13" i="1"/>
  <c r="AK8" i="1"/>
  <c r="AK10" i="1"/>
  <c r="AI8" i="1"/>
  <c r="AI10" i="1"/>
  <c r="AE12" i="1"/>
  <c r="AE10" i="1"/>
  <c r="AE13" i="1"/>
  <c r="AD8" i="1"/>
  <c r="AD12" i="1"/>
  <c r="AB13" i="1"/>
  <c r="AB8" i="1"/>
  <c r="AB10" i="1"/>
  <c r="AA12" i="1"/>
  <c r="AA8" i="1"/>
  <c r="AA10" i="1"/>
  <c r="Z12" i="1"/>
  <c r="Z13" i="1"/>
  <c r="Z8" i="1"/>
  <c r="Y12" i="1"/>
  <c r="Y10" i="1"/>
  <c r="Y13" i="1"/>
  <c r="X13" i="1"/>
  <c r="X8" i="1"/>
  <c r="X10" i="1"/>
</calcChain>
</file>

<file path=xl/sharedStrings.xml><?xml version="1.0" encoding="utf-8"?>
<sst xmlns="http://schemas.openxmlformats.org/spreadsheetml/2006/main" count="345" uniqueCount="151">
  <si>
    <t>Administrative Costs</t>
  </si>
  <si>
    <t>% of Admin Cost</t>
  </si>
  <si>
    <t>Direct Expenditures</t>
  </si>
  <si>
    <t>% of Direct Expenditures</t>
  </si>
  <si>
    <t>Indirect Expenditures</t>
  </si>
  <si>
    <t>% of Indirect Expenditures</t>
  </si>
  <si>
    <t>Unexpended Funds</t>
  </si>
  <si>
    <t>Explanation of Unexpended Funds</t>
  </si>
  <si>
    <t>Eligible Persons</t>
  </si>
  <si>
    <t># Persons Served</t>
  </si>
  <si>
    <t># People on Waiting List</t>
  </si>
  <si>
    <t>Performance Measures</t>
  </si>
  <si>
    <t>Title III B</t>
  </si>
  <si>
    <t>Title III C1</t>
  </si>
  <si>
    <t>Title III C2</t>
  </si>
  <si>
    <t>Title III E</t>
  </si>
  <si>
    <t>Title VII Ombudsman</t>
  </si>
  <si>
    <t>CDSME</t>
  </si>
  <si>
    <t>Title V</t>
  </si>
  <si>
    <t>Disability Resource Center</t>
  </si>
  <si>
    <t>Arthritis Grant</t>
  </si>
  <si>
    <t>FAST</t>
  </si>
  <si>
    <t>State Long Term Care Ombudsman</t>
  </si>
  <si>
    <t>Homecare</t>
  </si>
  <si>
    <t>SHIP</t>
  </si>
  <si>
    <t>Grant Award</t>
  </si>
  <si>
    <t>List of Direct Services provided by ADD</t>
  </si>
  <si>
    <t>Intermediary Relending Program</t>
  </si>
  <si>
    <t>Hazard Mitigation</t>
  </si>
  <si>
    <t>Source of Funds:</t>
  </si>
  <si>
    <t>Revolving Loan Fund</t>
  </si>
  <si>
    <t>Explanation as to why funds are being carried forward:</t>
  </si>
  <si>
    <t>Amount</t>
  </si>
  <si>
    <t>WIOA Adult</t>
  </si>
  <si>
    <t>WIOA Youth</t>
  </si>
  <si>
    <t>WIOA Dislocated Worker</t>
  </si>
  <si>
    <t>TRADE Adjustment Assistance</t>
  </si>
  <si>
    <t>Community &amp; Economic Development</t>
  </si>
  <si>
    <t>Multi-year Obligated Funds</t>
  </si>
  <si>
    <t>Training and Workforce Development</t>
  </si>
  <si>
    <t>Area Agency on Aging and Independent Living</t>
  </si>
  <si>
    <t>Career Center Operators</t>
  </si>
  <si>
    <t>Training Service Providers and services provided</t>
  </si>
  <si>
    <t>Purchase Area Development District</t>
  </si>
  <si>
    <t>Title III D</t>
  </si>
  <si>
    <t>Title VII Elder Abuse</t>
  </si>
  <si>
    <t>Program serves entire Purchase Region</t>
  </si>
  <si>
    <t>Rapid Response Grant</t>
  </si>
  <si>
    <t>Legal Services - Kentucky Legal Aid</t>
  </si>
  <si>
    <t>Congregate Meals - Ballard County Senior Citizens; Murray-Calloway County Senior Citizens; Carlisle County Senior Citizens; Senior Citizens of Fulton County; Hickman County Senior Citizens; Marshall County Senior Citizens; Paducah-McCracken County Senior Citizens</t>
  </si>
  <si>
    <t>Home Delivered Meals - Ballard County Senior Citizens; Murray-Calloway County Senior Citizens; Carlisle County Senior Citizens; Senior Citizens of Fulton County; Hickman County Senior Citizens; Marshall County Senior Citizens; Paducah-McCracken County Senior Citizens</t>
  </si>
  <si>
    <t>Senior Community Services Employment - West Kentucky Allied Services</t>
  </si>
  <si>
    <t>Escort - Mayfield-Graves County Senior Citizens; Hickman County Senior Citizens; Paducah-McCracken County Senior Citizens</t>
  </si>
  <si>
    <t>Total Grant Funds</t>
  </si>
  <si>
    <t>Local Funds (Match or applied)</t>
  </si>
  <si>
    <t>Provide information about services and assistance to callers and walk-ins.</t>
  </si>
  <si>
    <t>Ensure clients receive assistance in emergency situations.</t>
  </si>
  <si>
    <t>We provide Case Management and Assessment to clients who are eligible for Homecare services.</t>
  </si>
  <si>
    <t>Provide assistance with Medicare Part D enrollment.</t>
  </si>
  <si>
    <t>Provide supplemental services to approved clients and contract with a provider agency to supply respite services.</t>
  </si>
  <si>
    <t>Ombudsman services</t>
  </si>
  <si>
    <t>Direct Service Providers/Subcontractors Contracted by ADD and services provided</t>
  </si>
  <si>
    <t>Submit food receipts to DAIL upon request for payment.</t>
  </si>
  <si>
    <t>Provide enhanced outreach to eligible Medicare beneficiaries and to individuals who may be eligible for LIS, MSP, Medicare Part D and part D in rural areas.</t>
  </si>
  <si>
    <t>Provide outreach regarding benefits available under Medicare Part D and MSP outreach aimed at preventing disease and promoting wellness.</t>
  </si>
  <si>
    <t>Joint Funding Administration EDA</t>
  </si>
  <si>
    <t>Joint Funding Administration CDBG</t>
  </si>
  <si>
    <t>Section 5304</t>
  </si>
  <si>
    <t>Emergency Food Assistance Rural Infrastructure Grant</t>
  </si>
  <si>
    <t>Commodity Supplemental Food Program</t>
  </si>
  <si>
    <t>Veterans Care</t>
  </si>
  <si>
    <t>Local Roads Update</t>
  </si>
  <si>
    <t>Regional Transportation Planning</t>
  </si>
  <si>
    <t>Kentucky Infrastructure Authority</t>
  </si>
  <si>
    <t>Great River Road Project</t>
  </si>
  <si>
    <t>Implementation Assistance of Special Purpose Governmental Entities</t>
  </si>
  <si>
    <t>Revenue over expense</t>
  </si>
  <si>
    <t>Rural Business Loan Programs</t>
  </si>
  <si>
    <t>Microloan Programs</t>
  </si>
  <si>
    <t>Revenue over Expense from Performance Based Agreements</t>
  </si>
  <si>
    <t>Local Funds (Local Contributions and Interest on Investments</t>
  </si>
  <si>
    <t>Pension Liability</t>
  </si>
  <si>
    <t>Restricted for loan programs (audit).  Loan funds are used for relending.  Interest used for bad debt and staff.  EDA requires approximately 50% of interest applied to loan pool for relending.</t>
  </si>
  <si>
    <t>Unrestricted - designated for programs (audit).  Loan funds are used for relending and repayment of the loan from Rural Development.  Interest income used to pay interest on IRP funds borrowed, bad debt, and staff.</t>
  </si>
  <si>
    <t>Restricted for loan programs (audit).  Funds granted for loans. Unrestricted - designated for programs (audit).  Interest income - used for bad debt and staff.</t>
  </si>
  <si>
    <t>Unrestricted - designated for programs (audit).  Loan principal payments used to repay loan to SBA.  Interest used for interest payment to SBA and bad debt.</t>
  </si>
  <si>
    <t>Unrestricted - designated for programs (audit).  Performance based agreements with revenue over/under expense used for future services.</t>
  </si>
  <si>
    <t>Funds used for local match and expense not allowable under grant terms.</t>
  </si>
  <si>
    <t>GASB 68 Pension Liability - Non cash pension expense that reflects agency's proportionate share of net pension liability related to County Employee Retirement System.</t>
  </si>
  <si>
    <t>Title III B Ombudsman</t>
  </si>
  <si>
    <t>Glossary &amp; Acronym List</t>
  </si>
  <si>
    <t>Support Services</t>
  </si>
  <si>
    <t>Congregate Meals</t>
  </si>
  <si>
    <t>Home Delivered Meals</t>
  </si>
  <si>
    <t>Disease Prevention</t>
  </si>
  <si>
    <t>Family Caregiver Program</t>
  </si>
  <si>
    <t>NSIP</t>
  </si>
  <si>
    <t>Nutrition Services Incentive Program</t>
  </si>
  <si>
    <t>Chronic Disease Self Management Education</t>
  </si>
  <si>
    <t>Senior Employment</t>
  </si>
  <si>
    <t>Functional Assessment Service Team</t>
  </si>
  <si>
    <t>State Health Insurance Assistance Program</t>
  </si>
  <si>
    <t>MIPPA SHIP</t>
  </si>
  <si>
    <t>Medicare Improvements for Patients and Providers Act State Health Insurance Assistance Program</t>
  </si>
  <si>
    <t>MIPPA AAA</t>
  </si>
  <si>
    <t>Medicare Improvements for Patients and Providers Act State Agencies on Aging</t>
  </si>
  <si>
    <t>MIPPA ADRC</t>
  </si>
  <si>
    <t>Medicare Improvements for Patients and Providers Act Aging and Disability Resource Center</t>
  </si>
  <si>
    <t>JFA - EDA</t>
  </si>
  <si>
    <t>Joint Funding Administration - Economic Development Administration</t>
  </si>
  <si>
    <t>JFA - CDBG</t>
  </si>
  <si>
    <t>Joint Funding Administration - Community Development Block Grants</t>
  </si>
  <si>
    <t>WIOA</t>
  </si>
  <si>
    <t>Workforce Innovation and Opportunity Act</t>
  </si>
  <si>
    <t>DOL</t>
  </si>
  <si>
    <t>U.S. Department of Labor</t>
  </si>
  <si>
    <t>See Master Performance Measure Binder</t>
  </si>
  <si>
    <t>Services provided under a subcontract with Pennyrile ADD.</t>
  </si>
  <si>
    <t>Reflected in Pennyrile ADD's report.</t>
  </si>
  <si>
    <t>One Stop Operator</t>
  </si>
  <si>
    <t>Carryover</t>
  </si>
  <si>
    <t>Other Postemployment Benefit</t>
  </si>
  <si>
    <t>GASB 75 Other Postemployment Benefit liability- Non cash pension expense that reflects agency's proportionate share of net OPEB liability related to County Employee Retirement System.</t>
  </si>
  <si>
    <t>Briggs &amp; Stratton- RRAA</t>
  </si>
  <si>
    <t>Delta Regional Authority Technical Assistance FY 20-21</t>
  </si>
  <si>
    <t xml:space="preserve">Funds will continue to be spent out thru the remainder of the fiscal year. </t>
  </si>
  <si>
    <t>Health Promotion, Telephone Reassurance, and Transportation - Ballard County Senior Citizens; Murray-Calloway County Senior Citizens; Carlisle County Senior Citizens; Senior Citizens of Fulton County; Mayfield-Graves County Senior Citizens; Marshall County Senior Citizens; Paducah-McCracken County Senior Citizens</t>
  </si>
  <si>
    <t>Health Promotion and Transportation - Hickman County Senior Citizens</t>
  </si>
  <si>
    <t>Funds will continue to be spent out thru the remainder of the fiscal year.  If there are additional C1 funds they will be needed to cover C2 meals.</t>
  </si>
  <si>
    <t>Funds will continue to be spent out thru the remainder of the fiscal year. Based on our projections we will be need additional funds to continue to provide C2 meals thru the end of June 2021.</t>
  </si>
  <si>
    <t>Disease Prevention and Health Promotion - Murray-Calloway County Senior Citizens; Mayfield-Graves County Senior Citizens; Graves County Health Department</t>
  </si>
  <si>
    <t>Funds have been 100% expended but our agency will continue to provide services.</t>
  </si>
  <si>
    <t>Respite - West Kentucky Allied Services</t>
  </si>
  <si>
    <t xml:space="preserve">Per DAIL - begin using NSIP funds in January of 2021. - will continue to be spent throughout the year. </t>
  </si>
  <si>
    <t>Funds will be spent out in the 4th quarter</t>
  </si>
  <si>
    <t>Home Management, Personal Care, and Chore - Help at Home; Respite, Supplies, and Home Repair - West Kentucky Allied Services</t>
  </si>
  <si>
    <t>Due to COVID outreach events were cancelled which left a small amount of funding unexpended.</t>
  </si>
  <si>
    <t>Expense over revenue</t>
  </si>
  <si>
    <t>Covid 19- NDWG</t>
  </si>
  <si>
    <t>Tornado 2021</t>
  </si>
  <si>
    <t xml:space="preserve"> </t>
  </si>
  <si>
    <t>NSIP 10/1/23 to 6/30/24</t>
  </si>
  <si>
    <t>MIPPA SHIP 10/1 to 9/29/24</t>
  </si>
  <si>
    <t>MIPPA SHIP 10/1 to 9/30/23</t>
  </si>
  <si>
    <t>MIPPA AAA 10/1 to 9/29/24</t>
  </si>
  <si>
    <t>MIPPA AAA 10/1 to 9/30/23</t>
  </si>
  <si>
    <t>MIPPA ADRC 10/1 to 9/29/24</t>
  </si>
  <si>
    <t>MIPPA ADRC 10/1 to 9/30/23</t>
  </si>
  <si>
    <t>Delta Regional Authority Technical Assistance FY 23-24</t>
  </si>
  <si>
    <t>Last year of multi year contract</t>
  </si>
  <si>
    <t>Total amount of Reserves for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</si>
</sst>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44" fontId="0" fillId="0" borderId="1" xfId="1" applyFont="1" applyBorder="1" applyAlignment="1">
      <alignment horizontal="center" wrapText="1"/>
    </xf>
    <xf numFmtId="0" fontId="0" fillId="0" borderId="1" xfId="0" applyBorder="1" applyAlignment="1">
      <alignment wrapText="1"/>
    </xf>
    <xf numFmtId="44" fontId="0" fillId="0" borderId="1" xfId="1" applyFont="1" applyBorder="1"/>
    <xf numFmtId="0" fontId="0" fillId="0" borderId="1" xfId="0" applyBorder="1"/>
    <xf numFmtId="9" fontId="0" fillId="0" borderId="1" xfId="2" applyFont="1" applyBorder="1"/>
    <xf numFmtId="0" fontId="0" fillId="0" borderId="0" xfId="0" applyAlignment="1">
      <alignment horizontal="center" vertical="center" wrapText="1"/>
    </xf>
    <xf numFmtId="44" fontId="0" fillId="0" borderId="0" xfId="1" applyFont="1"/>
    <xf numFmtId="0" fontId="0" fillId="0" borderId="0" xfId="0" applyAlignment="1">
      <alignment horizontal="center"/>
    </xf>
    <xf numFmtId="0" fontId="2" fillId="0" borderId="0" xfId="0" applyFont="1"/>
    <xf numFmtId="44" fontId="0" fillId="0" borderId="0" xfId="1" applyFont="1" applyBorder="1"/>
    <xf numFmtId="44" fontId="0" fillId="0" borderId="3" xfId="1" applyFont="1" applyBorder="1"/>
    <xf numFmtId="0" fontId="0" fillId="0" borderId="5" xfId="0" applyBorder="1"/>
    <xf numFmtId="0" fontId="0" fillId="0" borderId="6" xfId="0" applyBorder="1"/>
    <xf numFmtId="9" fontId="0" fillId="0" borderId="0" xfId="2" applyFont="1"/>
    <xf numFmtId="44" fontId="0" fillId="0" borderId="1" xfId="1" applyFont="1" applyBorder="1" applyAlignment="1">
      <alignment horizontal="left" wrapText="1"/>
    </xf>
    <xf numFmtId="44" fontId="0" fillId="0" borderId="1" xfId="0" applyNumberFormat="1" applyBorder="1" applyAlignment="1">
      <alignment horizontal="left" wrapText="1"/>
    </xf>
    <xf numFmtId="9" fontId="0" fillId="0" borderId="1" xfId="2" applyFont="1" applyBorder="1" applyAlignment="1">
      <alignment horizontal="left" wrapText="1"/>
    </xf>
    <xf numFmtId="44" fontId="0" fillId="0" borderId="0" xfId="1" applyFont="1" applyBorder="1" applyAlignment="1">
      <alignment horizontal="center" wrapText="1"/>
    </xf>
    <xf numFmtId="9" fontId="0" fillId="0" borderId="0" xfId="2" applyFont="1" applyBorder="1"/>
    <xf numFmtId="0" fontId="0" fillId="0" borderId="5" xfId="0" applyBorder="1" applyAlignment="1">
      <alignment horizontal="left"/>
    </xf>
    <xf numFmtId="0" fontId="0" fillId="0" borderId="4" xfId="0" applyBorder="1" applyAlignment="1">
      <alignment wrapText="1"/>
    </xf>
    <xf numFmtId="44" fontId="0" fillId="0" borderId="1" xfId="1" applyFont="1" applyFill="1" applyBorder="1" applyAlignment="1">
      <alignment horizontal="center" wrapText="1"/>
    </xf>
    <xf numFmtId="44" fontId="0" fillId="0" borderId="1" xfId="1" applyFont="1" applyFill="1" applyBorder="1" applyAlignment="1"/>
    <xf numFmtId="44" fontId="0" fillId="0" borderId="1" xfId="1" applyFont="1" applyFill="1" applyBorder="1"/>
    <xf numFmtId="44" fontId="0" fillId="0" borderId="1" xfId="1" applyFont="1" applyFill="1" applyBorder="1" applyProtection="1">
      <protection hidden="1"/>
    </xf>
    <xf numFmtId="44" fontId="0" fillId="2" borderId="1" xfId="1" applyFont="1" applyFill="1" applyBorder="1" applyProtection="1">
      <protection hidden="1"/>
    </xf>
    <xf numFmtId="164" fontId="0" fillId="0" borderId="1" xfId="2" applyNumberFormat="1" applyFont="1" applyFill="1" applyBorder="1" applyProtection="1">
      <protection hidden="1"/>
    </xf>
    <xf numFmtId="0" fontId="0" fillId="0" borderId="1" xfId="0" applyBorder="1" applyAlignment="1" applyProtection="1">
      <alignment wrapText="1"/>
      <protection hidden="1"/>
    </xf>
    <xf numFmtId="0" fontId="0" fillId="0" borderId="0" xfId="0" applyProtection="1">
      <protection hidden="1"/>
    </xf>
    <xf numFmtId="0" fontId="0" fillId="0" borderId="1" xfId="0" applyBorder="1" applyProtection="1">
      <protection hidden="1"/>
    </xf>
    <xf numFmtId="164" fontId="0" fillId="2" borderId="1" xfId="2" applyNumberFormat="1" applyFont="1" applyFill="1" applyBorder="1" applyProtection="1">
      <protection hidden="1"/>
    </xf>
    <xf numFmtId="0" fontId="4" fillId="0" borderId="1" xfId="0" applyFont="1" applyBorder="1" applyProtection="1">
      <protection hidden="1"/>
    </xf>
    <xf numFmtId="164" fontId="0" fillId="0" borderId="1" xfId="2" applyNumberFormat="1" applyFont="1" applyFill="1" applyBorder="1"/>
    <xf numFmtId="44" fontId="0" fillId="0" borderId="0" xfId="1" applyFont="1" applyFill="1"/>
    <xf numFmtId="44" fontId="0" fillId="0" borderId="5" xfId="1" applyFont="1" applyFill="1" applyBorder="1" applyAlignment="1"/>
    <xf numFmtId="44" fontId="0" fillId="0" borderId="5" xfId="1" applyFont="1" applyFill="1" applyBorder="1"/>
    <xf numFmtId="0" fontId="0" fillId="0" borderId="2" xfId="0" applyBorder="1" applyAlignment="1">
      <alignment wrapText="1"/>
    </xf>
    <xf numFmtId="44" fontId="0" fillId="0" borderId="6" xfId="1" applyFont="1" applyFill="1" applyBorder="1"/>
    <xf numFmtId="0" fontId="0" fillId="0" borderId="5" xfId="0" applyBorder="1" applyAlignment="1">
      <alignment wrapText="1"/>
    </xf>
    <xf numFmtId="44" fontId="0" fillId="0" borderId="0" xfId="1" applyFont="1" applyFill="1" applyBorder="1"/>
    <xf numFmtId="44" fontId="4" fillId="0" borderId="1" xfId="1" applyFont="1" applyFill="1" applyBorder="1" applyProtection="1">
      <protection hidden="1"/>
    </xf>
    <xf numFmtId="164" fontId="0" fillId="0" borderId="1" xfId="1" applyNumberFormat="1" applyFont="1" applyBorder="1" applyAlignment="1">
      <alignment horizontal="center" wrapText="1"/>
    </xf>
    <xf numFmtId="0" fontId="0" fillId="0" borderId="4" xfId="0" applyBorder="1" applyAlignment="1">
      <alignment horizontal="center" wrapText="1"/>
    </xf>
    <xf numFmtId="44" fontId="0" fillId="0" borderId="4" xfId="1" applyFont="1" applyFill="1" applyBorder="1" applyAlignment="1">
      <alignment horizontal="center" wrapText="1"/>
    </xf>
    <xf numFmtId="44" fontId="0" fillId="0" borderId="4" xfId="1" applyFont="1" applyBorder="1" applyAlignment="1">
      <alignment horizontal="center" wrapText="1"/>
    </xf>
    <xf numFmtId="44" fontId="0" fillId="0" borderId="4" xfId="1" applyFont="1" applyBorder="1"/>
    <xf numFmtId="9" fontId="0" fillId="0" borderId="4" xfId="2" applyFont="1" applyBorder="1"/>
    <xf numFmtId="44" fontId="0" fillId="0" borderId="0" xfId="1" applyFont="1" applyFill="1" applyBorder="1" applyAlignment="1">
      <alignment horizontal="center" wrapText="1"/>
    </xf>
    <xf numFmtId="44" fontId="0" fillId="0" borderId="1" xfId="1" applyFont="1" applyFill="1" applyBorder="1" applyAlignment="1" applyProtection="1">
      <alignment wrapText="1"/>
      <protection hidden="1"/>
    </xf>
    <xf numFmtId="44" fontId="0" fillId="0" borderId="1" xfId="1" applyFont="1" applyFill="1" applyBorder="1" applyAlignment="1">
      <alignment wrapText="1"/>
    </xf>
    <xf numFmtId="0" fontId="0" fillId="0" borderId="1" xfId="0" applyFill="1" applyBorder="1" applyAlignment="1">
      <alignment wrapText="1"/>
    </xf>
    <xf numFmtId="0" fontId="0" fillId="0" borderId="1" xfId="0" applyFill="1" applyBorder="1"/>
    <xf numFmtId="0" fontId="0" fillId="0" borderId="0" xfId="0" applyFill="1"/>
    <xf numFmtId="0" fontId="0" fillId="0" borderId="1" xfId="0" applyFill="1" applyBorder="1" applyAlignment="1">
      <alignment horizontal="center" wrapText="1"/>
    </xf>
    <xf numFmtId="0" fontId="0" fillId="0" borderId="0" xfId="0" applyFill="1" applyAlignment="1">
      <alignment horizontal="center" wrapText="1"/>
    </xf>
    <xf numFmtId="44" fontId="0" fillId="0" borderId="1" xfId="1" applyFont="1" applyFill="1" applyBorder="1" applyAlignment="1">
      <alignment horizontal="left" wrapText="1"/>
    </xf>
    <xf numFmtId="9" fontId="0" fillId="0" borderId="1" xfId="2" applyFont="1" applyFill="1" applyBorder="1" applyAlignment="1">
      <alignment wrapText="1"/>
    </xf>
    <xf numFmtId="9" fontId="0" fillId="0" borderId="1" xfId="2" applyFont="1" applyFill="1" applyBorder="1"/>
    <xf numFmtId="9" fontId="0" fillId="0" borderId="0" xfId="2" applyFont="1" applyFill="1" applyBorder="1"/>
    <xf numFmtId="0" fontId="0" fillId="0" borderId="1" xfId="0" applyFill="1" applyBorder="1" applyAlignment="1" applyProtection="1">
      <alignment wrapText="1"/>
      <protection hidden="1"/>
    </xf>
    <xf numFmtId="0" fontId="0" fillId="0" borderId="0" xfId="0" applyFill="1" applyAlignment="1">
      <alignment wrapText="1"/>
    </xf>
    <xf numFmtId="0" fontId="0" fillId="0" borderId="0" xfId="0" applyFill="1" applyProtection="1">
      <protection hidden="1"/>
    </xf>
    <xf numFmtId="0" fontId="0" fillId="0" borderId="1" xfId="0" applyFill="1" applyBorder="1" applyProtection="1">
      <protection hidden="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Protection="1">
      <protection hidden="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 xfId="0" applyFill="1" applyBorder="1" applyAlignment="1">
      <alignment horizontal="center" wrapText="1"/>
    </xf>
    <xf numFmtId="0" fontId="0" fillId="0" borderId="4" xfId="0" applyFill="1" applyBorder="1" applyAlignment="1">
      <alignment horizontal="center"/>
    </xf>
    <xf numFmtId="0" fontId="0" fillId="0" borderId="7"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xf>
    <xf numFmtId="0" fontId="3"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T36"/>
  <sheetViews>
    <sheetView view="pageLayout" zoomScaleNormal="81" workbookViewId="0">
      <selection activeCell="B3" sqref="B3"/>
    </sheetView>
  </sheetViews>
  <sheetFormatPr defaultColWidth="8.7109375" defaultRowHeight="15" x14ac:dyDescent="0.25"/>
  <cols>
    <col min="1" max="1" width="51.28515625" style="64" bestFit="1" customWidth="1"/>
    <col min="2" max="2" width="27.85546875" style="56" customWidth="1"/>
    <col min="3" max="3" width="13.42578125" style="56" bestFit="1" customWidth="1"/>
    <col min="4" max="4" width="25.85546875" style="56" customWidth="1"/>
    <col min="5" max="5" width="34.85546875" style="56" customWidth="1"/>
    <col min="6" max="6" width="28.5703125" style="56" customWidth="1"/>
    <col min="7" max="7" width="14.42578125" style="56" bestFit="1" customWidth="1"/>
    <col min="8" max="8" width="13.28515625" style="56" bestFit="1" customWidth="1"/>
    <col min="9" max="9" width="15.140625" style="56" bestFit="1" customWidth="1"/>
    <col min="10" max="11" width="14.42578125" style="56" bestFit="1" customWidth="1"/>
    <col min="12" max="12" width="16.28515625" style="56" bestFit="1" customWidth="1"/>
    <col min="13" max="13" width="15.140625" style="56" bestFit="1" customWidth="1"/>
    <col min="14" max="14" width="13.28515625" style="56" bestFit="1" customWidth="1"/>
    <col min="15" max="15" width="16.140625" style="56" bestFit="1" customWidth="1"/>
    <col min="16" max="16" width="47.28515625" style="56" bestFit="1" customWidth="1"/>
    <col min="17" max="17" width="13.85546875" style="56" bestFit="1" customWidth="1"/>
    <col min="18" max="23" width="14.7109375" style="56" bestFit="1" customWidth="1"/>
    <col min="24" max="26" width="15.140625" style="56" bestFit="1" customWidth="1"/>
    <col min="27" max="27" width="18.7109375" style="56" bestFit="1" customWidth="1"/>
    <col min="28" max="28" width="15.140625" style="56" bestFit="1" customWidth="1"/>
    <col min="29" max="29" width="15.42578125" style="56" bestFit="1" customWidth="1"/>
    <col min="30" max="30" width="20" style="56" customWidth="1"/>
    <col min="31" max="31" width="18.140625" style="56" bestFit="1" customWidth="1"/>
    <col min="32" max="32" width="15.140625" style="56" bestFit="1" customWidth="1"/>
    <col min="33" max="33" width="14.7109375" style="56" bestFit="1" customWidth="1"/>
    <col min="34" max="36" width="15.140625" style="56" bestFit="1" customWidth="1"/>
    <col min="37" max="37" width="18" style="56" bestFit="1" customWidth="1"/>
    <col min="38" max="46" width="34.85546875" style="56" customWidth="1"/>
    <col min="47" max="16384" width="8.7109375" style="56"/>
  </cols>
  <sheetData>
    <row r="1" spans="1:46" x14ac:dyDescent="0.25">
      <c r="A1" s="5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row>
    <row r="2" spans="1:46" x14ac:dyDescent="0.25">
      <c r="A2" s="54" t="s">
        <v>140</v>
      </c>
      <c r="B2" s="83" t="s">
        <v>40</v>
      </c>
      <c r="C2" s="84"/>
      <c r="D2" s="84"/>
      <c r="E2" s="84"/>
      <c r="F2" s="84"/>
      <c r="G2" s="84"/>
      <c r="H2" s="84"/>
      <c r="I2" s="85"/>
      <c r="J2" s="83" t="s">
        <v>40</v>
      </c>
      <c r="K2" s="84"/>
      <c r="L2" s="84"/>
      <c r="M2" s="84"/>
      <c r="N2" s="84"/>
      <c r="O2" s="84"/>
      <c r="P2" s="84"/>
      <c r="Q2" s="84"/>
      <c r="R2" s="84"/>
      <c r="S2" s="84"/>
      <c r="T2" s="84"/>
      <c r="U2" s="84"/>
      <c r="V2" s="84"/>
      <c r="W2" s="85"/>
      <c r="X2" s="86" t="s">
        <v>37</v>
      </c>
      <c r="Y2" s="86"/>
      <c r="Z2" s="86"/>
      <c r="AA2" s="86"/>
      <c r="AB2" s="86"/>
      <c r="AC2" s="86"/>
      <c r="AD2" s="86"/>
      <c r="AE2" s="86"/>
      <c r="AF2" s="86"/>
      <c r="AG2" s="86"/>
      <c r="AH2" s="86"/>
      <c r="AI2" s="86"/>
      <c r="AJ2" s="86"/>
      <c r="AK2" s="86"/>
      <c r="AL2" s="86" t="s">
        <v>39</v>
      </c>
      <c r="AM2" s="86"/>
      <c r="AN2" s="86"/>
      <c r="AO2" s="86"/>
      <c r="AP2" s="86"/>
      <c r="AQ2" s="86"/>
      <c r="AR2" s="86"/>
    </row>
    <row r="3" spans="1:46" s="58" customFormat="1" ht="75" x14ac:dyDescent="0.25">
      <c r="A3" s="57"/>
      <c r="B3" s="57" t="s">
        <v>12</v>
      </c>
      <c r="C3" s="57" t="s">
        <v>89</v>
      </c>
      <c r="D3" s="57" t="s">
        <v>13</v>
      </c>
      <c r="E3" s="57" t="s">
        <v>14</v>
      </c>
      <c r="F3" s="57" t="s">
        <v>44</v>
      </c>
      <c r="G3" s="57" t="s">
        <v>15</v>
      </c>
      <c r="H3" s="57" t="s">
        <v>45</v>
      </c>
      <c r="I3" s="57" t="s">
        <v>16</v>
      </c>
      <c r="J3" s="57" t="s">
        <v>141</v>
      </c>
      <c r="K3" s="57" t="s">
        <v>18</v>
      </c>
      <c r="L3" s="57" t="s">
        <v>19</v>
      </c>
      <c r="M3" s="57" t="s">
        <v>20</v>
      </c>
      <c r="N3" s="57" t="s">
        <v>21</v>
      </c>
      <c r="O3" s="57" t="s">
        <v>22</v>
      </c>
      <c r="P3" s="57" t="s">
        <v>23</v>
      </c>
      <c r="Q3" s="57" t="s">
        <v>24</v>
      </c>
      <c r="R3" s="57" t="s">
        <v>142</v>
      </c>
      <c r="S3" s="57" t="s">
        <v>143</v>
      </c>
      <c r="T3" s="57" t="s">
        <v>144</v>
      </c>
      <c r="U3" s="57" t="s">
        <v>145</v>
      </c>
      <c r="V3" s="57" t="s">
        <v>146</v>
      </c>
      <c r="W3" s="57" t="s">
        <v>147</v>
      </c>
      <c r="X3" s="57" t="s">
        <v>65</v>
      </c>
      <c r="Y3" s="57" t="s">
        <v>66</v>
      </c>
      <c r="Z3" s="57" t="s">
        <v>67</v>
      </c>
      <c r="AA3" s="57" t="s">
        <v>68</v>
      </c>
      <c r="AB3" s="57" t="s">
        <v>69</v>
      </c>
      <c r="AC3" s="57" t="s">
        <v>70</v>
      </c>
      <c r="AD3" s="57" t="s">
        <v>148</v>
      </c>
      <c r="AE3" s="57" t="s">
        <v>124</v>
      </c>
      <c r="AF3" s="57" t="s">
        <v>71</v>
      </c>
      <c r="AG3" s="57" t="s">
        <v>28</v>
      </c>
      <c r="AH3" s="57" t="s">
        <v>72</v>
      </c>
      <c r="AI3" s="57" t="s">
        <v>73</v>
      </c>
      <c r="AJ3" s="57" t="s">
        <v>74</v>
      </c>
      <c r="AK3" s="57" t="s">
        <v>75</v>
      </c>
      <c r="AL3" s="57" t="s">
        <v>33</v>
      </c>
      <c r="AM3" s="57" t="s">
        <v>35</v>
      </c>
      <c r="AN3" s="57" t="s">
        <v>34</v>
      </c>
      <c r="AO3" s="57" t="s">
        <v>36</v>
      </c>
      <c r="AP3" s="57" t="s">
        <v>47</v>
      </c>
      <c r="AQ3" s="57" t="s">
        <v>119</v>
      </c>
      <c r="AR3" s="57" t="s">
        <v>123</v>
      </c>
      <c r="AS3" s="57" t="s">
        <v>138</v>
      </c>
      <c r="AT3" s="57" t="s">
        <v>139</v>
      </c>
    </row>
    <row r="4" spans="1:46" s="51" customFormat="1" x14ac:dyDescent="0.25">
      <c r="A4" s="59" t="s">
        <v>25</v>
      </c>
      <c r="B4" s="28">
        <f>66348+215656.6+220611.49+297861+52200</f>
        <v>852677.09</v>
      </c>
      <c r="C4" s="28">
        <v>53672.93</v>
      </c>
      <c r="D4" s="28">
        <f>232770+228835.61+190951.32+13270+36376+19676+12125</f>
        <v>734003.92999999993</v>
      </c>
      <c r="E4" s="28">
        <f>63268.21+461566.4+202301.18+307134+16800+657000</f>
        <v>1708069.79</v>
      </c>
      <c r="F4" s="28">
        <v>66615.89</v>
      </c>
      <c r="G4" s="28">
        <f>19523+356541.07+10329.1</f>
        <v>386393.17</v>
      </c>
      <c r="H4" s="28">
        <v>9234.2999999999993</v>
      </c>
      <c r="I4" s="28">
        <f>10569+6916.46+7491+12894.48+2000</f>
        <v>39870.94</v>
      </c>
      <c r="J4" s="28">
        <v>146830.29999999999</v>
      </c>
      <c r="K4" s="28">
        <f>10099+171985+7972</f>
        <v>190056</v>
      </c>
      <c r="L4" s="28">
        <v>36000</v>
      </c>
      <c r="M4" s="28"/>
      <c r="N4" s="28">
        <v>1000</v>
      </c>
      <c r="O4" s="28">
        <v>46509</v>
      </c>
      <c r="P4" s="28">
        <f>84204+694719.94</f>
        <v>778923.94</v>
      </c>
      <c r="Q4" s="28">
        <f>2332.5+42667.5</f>
        <v>45000</v>
      </c>
      <c r="R4" s="28">
        <v>9347</v>
      </c>
      <c r="S4" s="28">
        <v>15908.71</v>
      </c>
      <c r="T4" s="28">
        <v>8404</v>
      </c>
      <c r="U4" s="28">
        <v>17335</v>
      </c>
      <c r="V4" s="28">
        <v>3858</v>
      </c>
      <c r="W4" s="28">
        <v>4000</v>
      </c>
      <c r="X4" s="25">
        <v>116058.34</v>
      </c>
      <c r="Y4" s="25">
        <v>38849.78</v>
      </c>
      <c r="Z4" s="25">
        <v>87500</v>
      </c>
      <c r="AA4" s="25">
        <v>120000</v>
      </c>
      <c r="AB4" s="25">
        <v>190000</v>
      </c>
      <c r="AC4" s="25">
        <v>45675</v>
      </c>
      <c r="AD4" s="25">
        <v>16000</v>
      </c>
      <c r="AE4" s="25">
        <v>0</v>
      </c>
      <c r="AF4" s="25">
        <v>16700</v>
      </c>
      <c r="AG4" s="25">
        <v>29197</v>
      </c>
      <c r="AH4" s="25">
        <v>83454</v>
      </c>
      <c r="AI4" s="25">
        <v>66000</v>
      </c>
      <c r="AJ4" s="25">
        <f>6737+23367</f>
        <v>30104</v>
      </c>
      <c r="AK4" s="25">
        <v>0</v>
      </c>
      <c r="AL4" s="25">
        <v>305071</v>
      </c>
      <c r="AM4" s="25">
        <v>335172</v>
      </c>
      <c r="AN4" s="25">
        <v>58786</v>
      </c>
      <c r="AO4" s="25">
        <v>62181</v>
      </c>
      <c r="AP4" s="25">
        <v>14397</v>
      </c>
      <c r="AQ4" s="25">
        <v>34167</v>
      </c>
      <c r="AR4" s="25">
        <v>0</v>
      </c>
      <c r="AS4" s="25">
        <v>0</v>
      </c>
      <c r="AT4" s="25">
        <v>179510</v>
      </c>
    </row>
    <row r="5" spans="1:46" s="51" customFormat="1" x14ac:dyDescent="0.25">
      <c r="A5" s="59" t="s">
        <v>54</v>
      </c>
      <c r="B5" s="28">
        <f>61926.6+2774.31</f>
        <v>64700.909999999996</v>
      </c>
      <c r="C5" s="28">
        <v>0</v>
      </c>
      <c r="D5" s="28">
        <f>43283.41+90135.46</f>
        <v>133418.87</v>
      </c>
      <c r="E5" s="28">
        <f>40739.57+176891.69+600</f>
        <v>218231.26</v>
      </c>
      <c r="F5" s="28">
        <v>1452.97</v>
      </c>
      <c r="G5" s="28">
        <v>0</v>
      </c>
      <c r="H5" s="28">
        <v>0</v>
      </c>
      <c r="I5" s="28">
        <v>0</v>
      </c>
      <c r="J5" s="28">
        <v>0</v>
      </c>
      <c r="K5" s="28">
        <f>13853.87+883.63</f>
        <v>14737.5</v>
      </c>
      <c r="L5" s="28"/>
      <c r="M5" s="28"/>
      <c r="N5" s="28"/>
      <c r="O5" s="28">
        <v>23.16</v>
      </c>
      <c r="P5" s="28">
        <f>865.61</f>
        <v>865.61</v>
      </c>
      <c r="Q5" s="28">
        <v>0</v>
      </c>
      <c r="R5" s="28">
        <v>0</v>
      </c>
      <c r="S5" s="28">
        <v>0</v>
      </c>
      <c r="T5" s="28">
        <v>0</v>
      </c>
      <c r="U5" s="28">
        <v>3544.65</v>
      </c>
      <c r="V5" s="28">
        <v>0</v>
      </c>
      <c r="W5" s="27">
        <v>617.38</v>
      </c>
      <c r="X5" s="25">
        <v>0</v>
      </c>
      <c r="Y5" s="25">
        <v>0</v>
      </c>
      <c r="Z5" s="25">
        <v>17950</v>
      </c>
      <c r="AA5" s="25"/>
      <c r="AB5" s="25"/>
      <c r="AC5" s="25"/>
      <c r="AD5" s="25">
        <v>0</v>
      </c>
      <c r="AE5" s="25"/>
      <c r="AF5" s="25"/>
      <c r="AG5" s="25"/>
      <c r="AH5" s="25">
        <v>9272.9599999999991</v>
      </c>
      <c r="AI5" s="25">
        <v>0</v>
      </c>
      <c r="AJ5" s="25">
        <v>0</v>
      </c>
      <c r="AK5" s="25">
        <v>0</v>
      </c>
      <c r="AL5" s="25"/>
      <c r="AM5" s="25"/>
      <c r="AN5" s="25"/>
      <c r="AO5" s="25"/>
      <c r="AP5" s="25"/>
      <c r="AQ5" s="25"/>
      <c r="AR5" s="25"/>
      <c r="AS5" s="25"/>
      <c r="AT5" s="25"/>
    </row>
    <row r="6" spans="1:46" s="51" customFormat="1" x14ac:dyDescent="0.25">
      <c r="A6" s="59" t="s">
        <v>53</v>
      </c>
      <c r="B6" s="28">
        <f>SUM(B4:B5)</f>
        <v>917378</v>
      </c>
      <c r="C6" s="28">
        <f t="shared" ref="C6:L6" si="0">SUM(C4:C5)</f>
        <v>53672.93</v>
      </c>
      <c r="D6" s="28">
        <f t="shared" si="0"/>
        <v>867422.79999999993</v>
      </c>
      <c r="E6" s="28">
        <f t="shared" si="0"/>
        <v>1926301.05</v>
      </c>
      <c r="F6" s="28">
        <f t="shared" si="0"/>
        <v>68068.86</v>
      </c>
      <c r="G6" s="28">
        <f t="shared" si="0"/>
        <v>386393.17</v>
      </c>
      <c r="H6" s="28">
        <f t="shared" si="0"/>
        <v>9234.2999999999993</v>
      </c>
      <c r="I6" s="28">
        <f t="shared" si="0"/>
        <v>39870.94</v>
      </c>
      <c r="J6" s="28">
        <f t="shared" si="0"/>
        <v>146830.29999999999</v>
      </c>
      <c r="K6" s="28">
        <f t="shared" si="0"/>
        <v>204793.5</v>
      </c>
      <c r="L6" s="28">
        <f t="shared" si="0"/>
        <v>36000</v>
      </c>
      <c r="M6" s="28"/>
      <c r="N6" s="28">
        <f t="shared" ref="N6:W6" si="1">SUM(N4:N5)</f>
        <v>1000</v>
      </c>
      <c r="O6" s="28">
        <f t="shared" si="1"/>
        <v>46532.160000000003</v>
      </c>
      <c r="P6" s="28">
        <f t="shared" si="1"/>
        <v>779789.54999999993</v>
      </c>
      <c r="Q6" s="28">
        <f t="shared" si="1"/>
        <v>45000</v>
      </c>
      <c r="R6" s="28">
        <f t="shared" si="1"/>
        <v>9347</v>
      </c>
      <c r="S6" s="28">
        <f t="shared" si="1"/>
        <v>15908.71</v>
      </c>
      <c r="T6" s="28">
        <f t="shared" si="1"/>
        <v>8404</v>
      </c>
      <c r="U6" s="28">
        <f t="shared" si="1"/>
        <v>20879.650000000001</v>
      </c>
      <c r="V6" s="28">
        <f t="shared" si="1"/>
        <v>3858</v>
      </c>
      <c r="W6" s="27">
        <f t="shared" si="1"/>
        <v>4617.38</v>
      </c>
      <c r="X6" s="25">
        <f t="shared" ref="X6:AR6" si="2">SUM(X4:X5)</f>
        <v>116058.34</v>
      </c>
      <c r="Y6" s="25">
        <f t="shared" si="2"/>
        <v>38849.78</v>
      </c>
      <c r="Z6" s="25">
        <f t="shared" si="2"/>
        <v>105450</v>
      </c>
      <c r="AA6" s="25">
        <f t="shared" si="2"/>
        <v>120000</v>
      </c>
      <c r="AB6" s="25">
        <f t="shared" si="2"/>
        <v>190000</v>
      </c>
      <c r="AC6" s="25">
        <f t="shared" si="2"/>
        <v>45675</v>
      </c>
      <c r="AD6" s="25">
        <f t="shared" si="2"/>
        <v>16000</v>
      </c>
      <c r="AE6" s="25">
        <f t="shared" si="2"/>
        <v>0</v>
      </c>
      <c r="AF6" s="25">
        <f t="shared" ref="AF6:AG6" si="3">SUM(AF4:AF5)</f>
        <v>16700</v>
      </c>
      <c r="AG6" s="25">
        <f t="shared" si="3"/>
        <v>29197</v>
      </c>
      <c r="AH6" s="25">
        <f>SUM(AH4:AH5)</f>
        <v>92726.959999999992</v>
      </c>
      <c r="AI6" s="25">
        <f>SUM(AI4:AI5)</f>
        <v>66000</v>
      </c>
      <c r="AJ6" s="25">
        <f t="shared" si="2"/>
        <v>30104</v>
      </c>
      <c r="AK6" s="25">
        <f t="shared" si="2"/>
        <v>0</v>
      </c>
      <c r="AL6" s="25">
        <f>SUM(AL4:AL5)</f>
        <v>305071</v>
      </c>
      <c r="AM6" s="25">
        <f t="shared" si="2"/>
        <v>335172</v>
      </c>
      <c r="AN6" s="25">
        <f t="shared" si="2"/>
        <v>58786</v>
      </c>
      <c r="AO6" s="25">
        <f t="shared" si="2"/>
        <v>62181</v>
      </c>
      <c r="AP6" s="25">
        <f t="shared" si="2"/>
        <v>14397</v>
      </c>
      <c r="AQ6" s="25">
        <f t="shared" si="2"/>
        <v>34167</v>
      </c>
      <c r="AR6" s="25">
        <f t="shared" si="2"/>
        <v>0</v>
      </c>
      <c r="AS6" s="25">
        <f t="shared" ref="AS6:AT6" si="4">SUM(AS4:AS5)</f>
        <v>0</v>
      </c>
      <c r="AT6" s="25">
        <f t="shared" si="4"/>
        <v>179510</v>
      </c>
    </row>
    <row r="7" spans="1:46" s="43" customFormat="1" x14ac:dyDescent="0.25">
      <c r="A7" s="53" t="s">
        <v>0</v>
      </c>
      <c r="B7" s="28">
        <f>54752.04-8547.17</f>
        <v>46204.87</v>
      </c>
      <c r="C7" s="28">
        <v>0</v>
      </c>
      <c r="D7" s="44">
        <f>47458.45-9686.01</f>
        <v>37772.439999999995</v>
      </c>
      <c r="E7" s="28">
        <f>34841.69-6347.7</f>
        <v>28493.99</v>
      </c>
      <c r="F7" s="28">
        <f>6462.91+654.27+701.37</f>
        <v>7818.55</v>
      </c>
      <c r="G7" s="28">
        <f>15490.01-3204.05</f>
        <v>12285.96</v>
      </c>
      <c r="H7" s="28">
        <v>0</v>
      </c>
      <c r="I7" s="28">
        <v>0</v>
      </c>
      <c r="J7" s="28">
        <v>0</v>
      </c>
      <c r="K7" s="28">
        <f>8832.33-1788.63</f>
        <v>7043.7</v>
      </c>
      <c r="L7" s="28">
        <v>0</v>
      </c>
      <c r="M7" s="28"/>
      <c r="N7" s="28"/>
      <c r="O7" s="28">
        <v>0</v>
      </c>
      <c r="P7" s="28">
        <f>71235.97-14937.34</f>
        <v>56298.630000000005</v>
      </c>
      <c r="Q7" s="28">
        <f>2128.57-249.86</f>
        <v>1878.71</v>
      </c>
      <c r="R7" s="28"/>
      <c r="S7" s="28">
        <v>0</v>
      </c>
      <c r="T7" s="28">
        <v>0</v>
      </c>
      <c r="U7" s="28">
        <v>0</v>
      </c>
      <c r="V7" s="28">
        <v>0</v>
      </c>
      <c r="W7" s="27">
        <v>0</v>
      </c>
      <c r="X7" s="27">
        <v>0</v>
      </c>
      <c r="Y7" s="27">
        <v>0</v>
      </c>
      <c r="Z7" s="27">
        <v>0</v>
      </c>
      <c r="AA7" s="27">
        <v>0</v>
      </c>
      <c r="AB7" s="27">
        <v>0</v>
      </c>
      <c r="AC7" s="27">
        <v>0</v>
      </c>
      <c r="AD7" s="27">
        <v>0</v>
      </c>
      <c r="AE7" s="27">
        <v>0</v>
      </c>
      <c r="AF7" s="27">
        <v>0</v>
      </c>
      <c r="AG7" s="27">
        <v>0</v>
      </c>
      <c r="AH7" s="27">
        <v>0</v>
      </c>
      <c r="AI7" s="27">
        <v>0</v>
      </c>
      <c r="AJ7" s="27">
        <v>0</v>
      </c>
      <c r="AK7" s="27">
        <v>0</v>
      </c>
      <c r="AL7" s="27">
        <v>0</v>
      </c>
      <c r="AM7" s="27">
        <v>0</v>
      </c>
      <c r="AN7" s="27">
        <v>0</v>
      </c>
      <c r="AO7" s="27">
        <v>0</v>
      </c>
      <c r="AP7" s="27">
        <v>0</v>
      </c>
      <c r="AQ7" s="27">
        <v>0</v>
      </c>
      <c r="AR7" s="27">
        <v>0</v>
      </c>
      <c r="AS7" s="27">
        <v>0</v>
      </c>
      <c r="AT7" s="27">
        <v>0</v>
      </c>
    </row>
    <row r="8" spans="1:46" s="62" customFormat="1" x14ac:dyDescent="0.25">
      <c r="A8" s="60" t="s">
        <v>1</v>
      </c>
      <c r="B8" s="30">
        <f>B7/B6</f>
        <v>5.0366228533930399E-2</v>
      </c>
      <c r="C8" s="30">
        <f t="shared" ref="C8:L8" si="5">C7/C6</f>
        <v>0</v>
      </c>
      <c r="D8" s="30">
        <f t="shared" si="5"/>
        <v>4.3545592760531542E-2</v>
      </c>
      <c r="E8" s="30">
        <f t="shared" si="5"/>
        <v>1.4792075205482549E-2</v>
      </c>
      <c r="F8" s="30">
        <f t="shared" si="5"/>
        <v>0.11486236143810841</v>
      </c>
      <c r="G8" s="30">
        <f t="shared" si="5"/>
        <v>3.17965247677644E-2</v>
      </c>
      <c r="H8" s="30">
        <f t="shared" si="5"/>
        <v>0</v>
      </c>
      <c r="I8" s="30">
        <f t="shared" si="5"/>
        <v>0</v>
      </c>
      <c r="J8" s="30">
        <f t="shared" si="5"/>
        <v>0</v>
      </c>
      <c r="K8" s="30">
        <f t="shared" si="5"/>
        <v>3.4394158017710522E-2</v>
      </c>
      <c r="L8" s="30">
        <f t="shared" si="5"/>
        <v>0</v>
      </c>
      <c r="M8" s="30"/>
      <c r="N8" s="30">
        <f t="shared" ref="N8:W8" si="6">N7/N6</f>
        <v>0</v>
      </c>
      <c r="O8" s="30">
        <f t="shared" si="6"/>
        <v>0</v>
      </c>
      <c r="P8" s="30">
        <f t="shared" si="6"/>
        <v>7.2197210131887526E-2</v>
      </c>
      <c r="Q8" s="30">
        <f t="shared" si="6"/>
        <v>4.1749111111111112E-2</v>
      </c>
      <c r="R8" s="30">
        <f t="shared" si="6"/>
        <v>0</v>
      </c>
      <c r="S8" s="30">
        <f t="shared" si="6"/>
        <v>0</v>
      </c>
      <c r="T8" s="30">
        <f t="shared" si="6"/>
        <v>0</v>
      </c>
      <c r="U8" s="30">
        <f t="shared" si="6"/>
        <v>0</v>
      </c>
      <c r="V8" s="30">
        <f t="shared" si="6"/>
        <v>0</v>
      </c>
      <c r="W8" s="36">
        <f t="shared" si="6"/>
        <v>0</v>
      </c>
      <c r="X8" s="61">
        <f t="shared" ref="X8:AR8" si="7">X7/X6</f>
        <v>0</v>
      </c>
      <c r="Y8" s="61">
        <f t="shared" si="7"/>
        <v>0</v>
      </c>
      <c r="Z8" s="61">
        <f t="shared" si="7"/>
        <v>0</v>
      </c>
      <c r="AA8" s="61">
        <f t="shared" si="7"/>
        <v>0</v>
      </c>
      <c r="AB8" s="61">
        <f t="shared" si="7"/>
        <v>0</v>
      </c>
      <c r="AC8" s="61">
        <f t="shared" si="7"/>
        <v>0</v>
      </c>
      <c r="AD8" s="61">
        <f t="shared" si="7"/>
        <v>0</v>
      </c>
      <c r="AE8" s="61" t="e">
        <f t="shared" si="7"/>
        <v>#DIV/0!</v>
      </c>
      <c r="AF8" s="61">
        <f t="shared" ref="AF8:AH8" si="8">AF7/AF6</f>
        <v>0</v>
      </c>
      <c r="AG8" s="61">
        <f t="shared" si="8"/>
        <v>0</v>
      </c>
      <c r="AH8" s="61">
        <f t="shared" si="8"/>
        <v>0</v>
      </c>
      <c r="AI8" s="61">
        <f t="shared" si="7"/>
        <v>0</v>
      </c>
      <c r="AJ8" s="61">
        <f t="shared" si="7"/>
        <v>0</v>
      </c>
      <c r="AK8" s="61" t="e">
        <f t="shared" si="7"/>
        <v>#DIV/0!</v>
      </c>
      <c r="AL8" s="61">
        <f t="shared" si="7"/>
        <v>0</v>
      </c>
      <c r="AM8" s="61">
        <f t="shared" si="7"/>
        <v>0</v>
      </c>
      <c r="AN8" s="61">
        <f t="shared" si="7"/>
        <v>0</v>
      </c>
      <c r="AO8" s="61">
        <f t="shared" si="7"/>
        <v>0</v>
      </c>
      <c r="AP8" s="61">
        <f t="shared" si="7"/>
        <v>0</v>
      </c>
      <c r="AQ8" s="61">
        <f t="shared" si="7"/>
        <v>0</v>
      </c>
      <c r="AR8" s="61" t="e">
        <f t="shared" si="7"/>
        <v>#DIV/0!</v>
      </c>
      <c r="AS8" s="61" t="e">
        <f t="shared" ref="AS8:AT8" si="9">AS7/AS6</f>
        <v>#DIV/0!</v>
      </c>
      <c r="AT8" s="61">
        <f t="shared" si="9"/>
        <v>0</v>
      </c>
    </row>
    <row r="9" spans="1:46" s="43" customFormat="1" x14ac:dyDescent="0.25">
      <c r="A9" s="53" t="s">
        <v>2</v>
      </c>
      <c r="B9" s="28">
        <f>671030.04-14627.33</f>
        <v>656402.71000000008</v>
      </c>
      <c r="C9" s="28">
        <f>31915.91-C11</f>
        <v>26055.1</v>
      </c>
      <c r="D9" s="28">
        <f>486028.64</f>
        <v>486028.64</v>
      </c>
      <c r="E9" s="28">
        <v>1677169.22</v>
      </c>
      <c r="F9" s="28">
        <v>13153.7</v>
      </c>
      <c r="G9" s="28">
        <f>276935.61+1784.1-22909.71</f>
        <v>255809.99999999997</v>
      </c>
      <c r="H9" s="28">
        <f>8283.7-H11</f>
        <v>6487.7400000000007</v>
      </c>
      <c r="I9" s="28">
        <f>15114.03-I11</f>
        <v>12202.28</v>
      </c>
      <c r="J9" s="28">
        <v>118800</v>
      </c>
      <c r="K9" s="28">
        <f>144416.9-1453.93</f>
        <v>142962.97</v>
      </c>
      <c r="L9" s="28">
        <v>69000</v>
      </c>
      <c r="M9" s="28"/>
      <c r="N9" s="28">
        <v>0</v>
      </c>
      <c r="O9" s="28">
        <f>46532.16-O11</f>
        <v>37037.130000000005</v>
      </c>
      <c r="P9" s="28">
        <f>626404.49-106977.75</f>
        <v>519426.74</v>
      </c>
      <c r="Q9" s="28">
        <f>41842.06-7792.88</f>
        <v>34049.18</v>
      </c>
      <c r="R9" s="28">
        <f>9322.49-R11</f>
        <v>7385.49</v>
      </c>
      <c r="S9" s="28">
        <f>15908.71-S11</f>
        <v>11965.05</v>
      </c>
      <c r="T9" s="28">
        <f>7509.44-1519.94</f>
        <v>5989.5</v>
      </c>
      <c r="U9" s="28">
        <f>20879.65-5371.17</f>
        <v>15508.480000000001</v>
      </c>
      <c r="V9" s="28">
        <f>2683.39-448.68</f>
        <v>2234.71</v>
      </c>
      <c r="W9" s="28">
        <f>4617.38-1331.63</f>
        <v>3285.75</v>
      </c>
      <c r="X9" s="27">
        <v>106567</v>
      </c>
      <c r="Y9" s="27">
        <v>30913</v>
      </c>
      <c r="Z9" s="27">
        <v>69606</v>
      </c>
      <c r="AA9" s="27">
        <f>36544+20431+907</f>
        <v>57882</v>
      </c>
      <c r="AB9" s="27">
        <f>86385+53351+3372</f>
        <v>143108</v>
      </c>
      <c r="AC9" s="27">
        <v>27621</v>
      </c>
      <c r="AD9" s="27">
        <v>7197</v>
      </c>
      <c r="AE9" s="27">
        <v>0</v>
      </c>
      <c r="AF9" s="27">
        <v>12933</v>
      </c>
      <c r="AG9" s="27">
        <v>24290</v>
      </c>
      <c r="AH9" s="27">
        <v>81962</v>
      </c>
      <c r="AI9" s="27">
        <v>58787</v>
      </c>
      <c r="AJ9" s="27">
        <f>21391+6737</f>
        <v>28128</v>
      </c>
      <c r="AK9" s="27">
        <v>0</v>
      </c>
      <c r="AL9" s="27">
        <v>232134</v>
      </c>
      <c r="AM9" s="27">
        <v>233566</v>
      </c>
      <c r="AN9" s="27">
        <v>24398</v>
      </c>
      <c r="AO9" s="27">
        <v>38438</v>
      </c>
      <c r="AP9" s="27">
        <v>264</v>
      </c>
      <c r="AQ9" s="27">
        <f>23361.93-AQ11</f>
        <v>18292.900000000001</v>
      </c>
      <c r="AR9" s="27">
        <v>0</v>
      </c>
      <c r="AS9" s="27">
        <v>0</v>
      </c>
      <c r="AT9" s="27">
        <v>128896</v>
      </c>
    </row>
    <row r="10" spans="1:46" s="62" customFormat="1" x14ac:dyDescent="0.25">
      <c r="A10" s="60" t="s">
        <v>3</v>
      </c>
      <c r="B10" s="30">
        <f>B9/B6</f>
        <v>0.71552043977509827</v>
      </c>
      <c r="C10" s="30">
        <f t="shared" ref="C10:L10" si="10">C9/C6</f>
        <v>0.48544210275086525</v>
      </c>
      <c r="D10" s="30">
        <f t="shared" si="10"/>
        <v>0.56031342501027182</v>
      </c>
      <c r="E10" s="30">
        <f t="shared" si="10"/>
        <v>0.8706682789795499</v>
      </c>
      <c r="F10" s="30">
        <f t="shared" si="10"/>
        <v>0.19324107969488546</v>
      </c>
      <c r="G10" s="30">
        <f t="shared" si="10"/>
        <v>0.66204586380240615</v>
      </c>
      <c r="H10" s="30">
        <f t="shared" si="10"/>
        <v>0.70256976706409813</v>
      </c>
      <c r="I10" s="30">
        <f t="shared" si="10"/>
        <v>0.30604445242575168</v>
      </c>
      <c r="J10" s="30">
        <f t="shared" si="10"/>
        <v>0.80909730484784137</v>
      </c>
      <c r="K10" s="30">
        <f t="shared" si="10"/>
        <v>0.69808353292462899</v>
      </c>
      <c r="L10" s="30">
        <f t="shared" si="10"/>
        <v>1.9166666666666667</v>
      </c>
      <c r="M10" s="30"/>
      <c r="N10" s="30">
        <f t="shared" ref="N10:W10" si="11">N9/N6</f>
        <v>0</v>
      </c>
      <c r="O10" s="30">
        <f t="shared" si="11"/>
        <v>0.79594693218625578</v>
      </c>
      <c r="P10" s="30">
        <f t="shared" si="11"/>
        <v>0.66611143993914779</v>
      </c>
      <c r="Q10" s="30">
        <f t="shared" si="11"/>
        <v>0.75664844444444446</v>
      </c>
      <c r="R10" s="30">
        <f t="shared" si="11"/>
        <v>0.79014550123034122</v>
      </c>
      <c r="S10" s="30">
        <f t="shared" si="11"/>
        <v>0.75210686473007549</v>
      </c>
      <c r="T10" s="30">
        <f t="shared" si="11"/>
        <v>0.71269633507853403</v>
      </c>
      <c r="U10" s="30">
        <f t="shared" si="11"/>
        <v>0.74275574542676726</v>
      </c>
      <c r="V10" s="30">
        <f t="shared" si="11"/>
        <v>0.57924053913945051</v>
      </c>
      <c r="W10" s="36">
        <f t="shared" si="11"/>
        <v>0.71160484950339797</v>
      </c>
      <c r="X10" s="61">
        <f t="shared" ref="X10:AR10" si="12">X9/X6</f>
        <v>0.91821923353375556</v>
      </c>
      <c r="Y10" s="61">
        <f t="shared" si="12"/>
        <v>0.79570592162941467</v>
      </c>
      <c r="Z10" s="61">
        <f t="shared" si="12"/>
        <v>0.6600853485064011</v>
      </c>
      <c r="AA10" s="61">
        <f t="shared" si="12"/>
        <v>0.48235</v>
      </c>
      <c r="AB10" s="61">
        <f t="shared" si="12"/>
        <v>0.75319999999999998</v>
      </c>
      <c r="AC10" s="61">
        <f t="shared" si="12"/>
        <v>0.60472906403940885</v>
      </c>
      <c r="AD10" s="61">
        <f t="shared" si="12"/>
        <v>0.4498125</v>
      </c>
      <c r="AE10" s="61" t="e">
        <f t="shared" si="12"/>
        <v>#DIV/0!</v>
      </c>
      <c r="AF10" s="61">
        <f t="shared" ref="AF10:AH10" si="13">AF9/AF6</f>
        <v>0.77443113772455086</v>
      </c>
      <c r="AG10" s="61">
        <f t="shared" si="13"/>
        <v>0.83193478782066654</v>
      </c>
      <c r="AH10" s="61">
        <f t="shared" si="13"/>
        <v>0.88390690258798532</v>
      </c>
      <c r="AI10" s="61">
        <f t="shared" si="12"/>
        <v>0.89071212121212118</v>
      </c>
      <c r="AJ10" s="61">
        <f t="shared" si="12"/>
        <v>0.93436088227478076</v>
      </c>
      <c r="AK10" s="61" t="e">
        <f t="shared" si="12"/>
        <v>#DIV/0!</v>
      </c>
      <c r="AL10" s="61">
        <f t="shared" si="12"/>
        <v>0.7609179502476473</v>
      </c>
      <c r="AM10" s="61">
        <f t="shared" si="12"/>
        <v>0.69685415249483851</v>
      </c>
      <c r="AN10" s="61">
        <f t="shared" si="12"/>
        <v>0.41503078964379275</v>
      </c>
      <c r="AO10" s="61">
        <f t="shared" si="12"/>
        <v>0.61816310448529288</v>
      </c>
      <c r="AP10" s="61">
        <f t="shared" si="12"/>
        <v>1.8337153573661179E-2</v>
      </c>
      <c r="AQ10" s="61">
        <f t="shared" si="12"/>
        <v>0.53539672783680159</v>
      </c>
      <c r="AR10" s="61" t="e">
        <f t="shared" si="12"/>
        <v>#DIV/0!</v>
      </c>
      <c r="AS10" s="61" t="e">
        <f t="shared" ref="AS10:AT10" si="14">AS9/AS6</f>
        <v>#DIV/0!</v>
      </c>
      <c r="AT10" s="61">
        <f t="shared" si="14"/>
        <v>0.71804356303270012</v>
      </c>
    </row>
    <row r="11" spans="1:46" s="43" customFormat="1" x14ac:dyDescent="0.25">
      <c r="A11" s="53" t="s">
        <v>4</v>
      </c>
      <c r="B11" s="28">
        <f>8547.17+14627.33</f>
        <v>23174.5</v>
      </c>
      <c r="C11" s="28">
        <v>5860.81</v>
      </c>
      <c r="D11" s="28">
        <f>9686.01</f>
        <v>9686.01</v>
      </c>
      <c r="E11" s="28">
        <f>6347.7</f>
        <v>6347.7</v>
      </c>
      <c r="F11" s="28">
        <v>2228.27</v>
      </c>
      <c r="G11" s="28">
        <f>22909.71+3204.05</f>
        <v>26113.759999999998</v>
      </c>
      <c r="H11" s="28">
        <v>1795.96</v>
      </c>
      <c r="I11" s="28">
        <v>2911.75</v>
      </c>
      <c r="J11" s="28">
        <v>0</v>
      </c>
      <c r="K11" s="28">
        <f>1788.63+1453.93</f>
        <v>3242.5600000000004</v>
      </c>
      <c r="L11" s="28">
        <v>0</v>
      </c>
      <c r="M11" s="28"/>
      <c r="N11" s="28">
        <v>0</v>
      </c>
      <c r="O11" s="28">
        <v>9495.0300000000007</v>
      </c>
      <c r="P11" s="28">
        <f>106977.75+14937.34</f>
        <v>121915.09</v>
      </c>
      <c r="Q11" s="28">
        <f>249.86+7792.88</f>
        <v>8042.74</v>
      </c>
      <c r="R11" s="28">
        <v>1937</v>
      </c>
      <c r="S11" s="28">
        <v>3943.66</v>
      </c>
      <c r="T11" s="28">
        <v>1519.94</v>
      </c>
      <c r="U11" s="28">
        <v>5371.17</v>
      </c>
      <c r="V11" s="28">
        <v>448.68</v>
      </c>
      <c r="W11" s="28">
        <v>1331.63</v>
      </c>
      <c r="X11" s="27">
        <v>21534</v>
      </c>
      <c r="Y11" s="27">
        <v>7875</v>
      </c>
      <c r="Z11" s="27">
        <v>18344</v>
      </c>
      <c r="AA11" s="27">
        <v>15206</v>
      </c>
      <c r="AB11" s="27">
        <v>34841</v>
      </c>
      <c r="AC11" s="27">
        <v>6667</v>
      </c>
      <c r="AD11" s="27">
        <v>1894</v>
      </c>
      <c r="AE11" s="27">
        <v>0</v>
      </c>
      <c r="AF11" s="27">
        <v>3938</v>
      </c>
      <c r="AG11" s="27">
        <v>4907</v>
      </c>
      <c r="AH11" s="27">
        <v>17733</v>
      </c>
      <c r="AI11" s="27">
        <v>12576</v>
      </c>
      <c r="AJ11" s="27">
        <v>1942</v>
      </c>
      <c r="AK11" s="27">
        <v>0</v>
      </c>
      <c r="AL11" s="27">
        <v>54327</v>
      </c>
      <c r="AM11" s="27">
        <v>61206</v>
      </c>
      <c r="AN11" s="27">
        <v>6458</v>
      </c>
      <c r="AO11" s="27">
        <v>10233</v>
      </c>
      <c r="AP11" s="27">
        <v>43</v>
      </c>
      <c r="AQ11" s="27">
        <v>5069.03</v>
      </c>
      <c r="AR11" s="27">
        <v>0</v>
      </c>
      <c r="AS11" s="27">
        <v>0</v>
      </c>
      <c r="AT11" s="27">
        <v>28014</v>
      </c>
    </row>
    <row r="12" spans="1:46" s="62" customFormat="1" ht="15.75" customHeight="1" x14ac:dyDescent="0.25">
      <c r="A12" s="60" t="s">
        <v>5</v>
      </c>
      <c r="B12" s="30">
        <f>B11/B6</f>
        <v>2.5261669671607558E-2</v>
      </c>
      <c r="C12" s="30">
        <f t="shared" ref="C12:L12" si="15">C11/C6</f>
        <v>0.10919489582551205</v>
      </c>
      <c r="D12" s="30">
        <f t="shared" si="15"/>
        <v>1.1166423109929784E-2</v>
      </c>
      <c r="E12" s="30">
        <f t="shared" si="15"/>
        <v>3.2952793126494948E-3</v>
      </c>
      <c r="F12" s="30">
        <f t="shared" si="15"/>
        <v>3.2735526935517942E-2</v>
      </c>
      <c r="G12" s="30">
        <f t="shared" si="15"/>
        <v>6.7583389219845677E-2</v>
      </c>
      <c r="H12" s="30">
        <f t="shared" si="15"/>
        <v>0.19448794169563477</v>
      </c>
      <c r="I12" s="30">
        <f t="shared" si="15"/>
        <v>7.3029379292286561E-2</v>
      </c>
      <c r="J12" s="30">
        <f t="shared" si="15"/>
        <v>0</v>
      </c>
      <c r="K12" s="30">
        <f t="shared" si="15"/>
        <v>1.5833315022205297E-2</v>
      </c>
      <c r="L12" s="30">
        <f t="shared" si="15"/>
        <v>0</v>
      </c>
      <c r="M12" s="30"/>
      <c r="N12" s="30">
        <f t="shared" ref="N12:W12" si="16">N11/N6</f>
        <v>0</v>
      </c>
      <c r="O12" s="30">
        <f t="shared" si="16"/>
        <v>0.2040530678137443</v>
      </c>
      <c r="P12" s="30">
        <f t="shared" si="16"/>
        <v>0.15634358013646119</v>
      </c>
      <c r="Q12" s="30">
        <f t="shared" si="16"/>
        <v>0.17872755555555556</v>
      </c>
      <c r="R12" s="30">
        <f t="shared" si="16"/>
        <v>0.20723226703755215</v>
      </c>
      <c r="S12" s="30">
        <f t="shared" si="16"/>
        <v>0.24789313526992446</v>
      </c>
      <c r="T12" s="30">
        <f t="shared" si="16"/>
        <v>0.18085911470728225</v>
      </c>
      <c r="U12" s="30">
        <f t="shared" si="16"/>
        <v>0.2572442545732328</v>
      </c>
      <c r="V12" s="30">
        <f t="shared" si="16"/>
        <v>0.11629860031104199</v>
      </c>
      <c r="W12" s="36">
        <f t="shared" si="16"/>
        <v>0.28839515049660197</v>
      </c>
      <c r="X12" s="61">
        <f t="shared" ref="X12:AR12" si="17">X11/X6</f>
        <v>0.18554461488937374</v>
      </c>
      <c r="Y12" s="61">
        <f t="shared" si="17"/>
        <v>0.20270385057521562</v>
      </c>
      <c r="Z12" s="61">
        <f t="shared" si="17"/>
        <v>0.173959222380275</v>
      </c>
      <c r="AA12" s="61">
        <f t="shared" si="17"/>
        <v>0.12671666666666667</v>
      </c>
      <c r="AB12" s="61">
        <f t="shared" si="17"/>
        <v>0.18337368421052633</v>
      </c>
      <c r="AC12" s="61">
        <f t="shared" si="17"/>
        <v>0.14596606458675424</v>
      </c>
      <c r="AD12" s="61">
        <f t="shared" si="17"/>
        <v>0.11837499999999999</v>
      </c>
      <c r="AE12" s="61" t="e">
        <f t="shared" si="17"/>
        <v>#DIV/0!</v>
      </c>
      <c r="AF12" s="61">
        <f t="shared" ref="AF12:AH12" si="18">AF11/AF6</f>
        <v>0.23580838323353293</v>
      </c>
      <c r="AG12" s="61">
        <f t="shared" si="18"/>
        <v>0.16806521217933348</v>
      </c>
      <c r="AH12" s="61">
        <f t="shared" si="18"/>
        <v>0.19123888025661578</v>
      </c>
      <c r="AI12" s="61">
        <f t="shared" si="17"/>
        <v>0.19054545454545455</v>
      </c>
      <c r="AJ12" s="61">
        <f t="shared" si="17"/>
        <v>6.4509699707680043E-2</v>
      </c>
      <c r="AK12" s="61" t="e">
        <f t="shared" si="17"/>
        <v>#DIV/0!</v>
      </c>
      <c r="AL12" s="61">
        <f t="shared" si="17"/>
        <v>0.17807985682021563</v>
      </c>
      <c r="AM12" s="61">
        <f t="shared" si="17"/>
        <v>0.18261071927249292</v>
      </c>
      <c r="AN12" s="61">
        <f t="shared" si="17"/>
        <v>0.10985608818426155</v>
      </c>
      <c r="AO12" s="61">
        <f t="shared" si="17"/>
        <v>0.16456795484151107</v>
      </c>
      <c r="AP12" s="61">
        <f t="shared" si="17"/>
        <v>2.9867333472251164E-3</v>
      </c>
      <c r="AQ12" s="61">
        <f t="shared" si="17"/>
        <v>0.14836040623993912</v>
      </c>
      <c r="AR12" s="61" t="e">
        <f t="shared" si="17"/>
        <v>#DIV/0!</v>
      </c>
      <c r="AS12" s="61" t="e">
        <f t="shared" ref="AS12:AT12" si="19">AS11/AS6</f>
        <v>#DIV/0!</v>
      </c>
      <c r="AT12" s="61">
        <f t="shared" si="19"/>
        <v>0.15605815831987077</v>
      </c>
    </row>
    <row r="13" spans="1:46" s="43" customFormat="1" x14ac:dyDescent="0.25">
      <c r="A13" s="53" t="s">
        <v>6</v>
      </c>
      <c r="B13" s="28">
        <f>B6-B7-B9-B11</f>
        <v>191595.91999999993</v>
      </c>
      <c r="C13" s="28">
        <f>C6-C7-C9-C11</f>
        <v>21757.02</v>
      </c>
      <c r="D13" s="28">
        <f>D6-D7-D9-D11</f>
        <v>333935.70999999996</v>
      </c>
      <c r="E13" s="28">
        <f>E6-E7-E9-E11</f>
        <v>214290.14000000007</v>
      </c>
      <c r="F13" s="28">
        <f t="shared" ref="F13:I13" si="20">F6-F7-F9-F11</f>
        <v>44868.340000000004</v>
      </c>
      <c r="G13" s="28">
        <f t="shared" si="20"/>
        <v>92183.45</v>
      </c>
      <c r="H13" s="28">
        <f t="shared" si="20"/>
        <v>950.59999999999854</v>
      </c>
      <c r="I13" s="28">
        <f t="shared" si="20"/>
        <v>24756.910000000003</v>
      </c>
      <c r="J13" s="28">
        <f>J6-J7-J9-J11</f>
        <v>28030.299999999988</v>
      </c>
      <c r="K13" s="28">
        <f t="shared" ref="K13:W13" si="21">K6-K7-K9-K11</f>
        <v>51544.26999999999</v>
      </c>
      <c r="L13" s="28">
        <f t="shared" si="21"/>
        <v>-33000</v>
      </c>
      <c r="M13" s="28">
        <f t="shared" si="21"/>
        <v>0</v>
      </c>
      <c r="N13" s="28">
        <f t="shared" si="21"/>
        <v>1000</v>
      </c>
      <c r="O13" s="28">
        <f>O6-O7-O9-O11</f>
        <v>0</v>
      </c>
      <c r="P13" s="28">
        <f t="shared" si="21"/>
        <v>82149.089999999938</v>
      </c>
      <c r="Q13" s="28">
        <f t="shared" si="21"/>
        <v>1029.3700000000008</v>
      </c>
      <c r="R13" s="28">
        <f t="shared" si="21"/>
        <v>24.510000000000218</v>
      </c>
      <c r="S13" s="28">
        <f t="shared" si="21"/>
        <v>0</v>
      </c>
      <c r="T13" s="28">
        <f t="shared" si="21"/>
        <v>894.56</v>
      </c>
      <c r="U13" s="28">
        <f t="shared" si="21"/>
        <v>0</v>
      </c>
      <c r="V13" s="28">
        <f t="shared" si="21"/>
        <v>1174.6099999999999</v>
      </c>
      <c r="W13" s="28">
        <f t="shared" si="21"/>
        <v>0</v>
      </c>
      <c r="X13" s="27">
        <f t="shared" ref="X13:AR13" si="22">X6-X7-X9-X11</f>
        <v>-12042.660000000003</v>
      </c>
      <c r="Y13" s="27">
        <f t="shared" si="22"/>
        <v>61.779999999998836</v>
      </c>
      <c r="Z13" s="27">
        <f t="shared" si="22"/>
        <v>17500</v>
      </c>
      <c r="AA13" s="27">
        <f t="shared" si="22"/>
        <v>46912</v>
      </c>
      <c r="AB13" s="27">
        <f t="shared" si="22"/>
        <v>12051</v>
      </c>
      <c r="AC13" s="27">
        <f t="shared" si="22"/>
        <v>11387</v>
      </c>
      <c r="AD13" s="27">
        <f>AD6-AD7-AD9-AD11</f>
        <v>6909</v>
      </c>
      <c r="AE13" s="27">
        <f t="shared" si="22"/>
        <v>0</v>
      </c>
      <c r="AF13" s="27">
        <f t="shared" ref="AF13:AH13" si="23">AF6-AF7-AF9-AF11</f>
        <v>-171</v>
      </c>
      <c r="AG13" s="27">
        <f t="shared" si="23"/>
        <v>0</v>
      </c>
      <c r="AH13" s="27">
        <f t="shared" si="23"/>
        <v>-6968.0400000000081</v>
      </c>
      <c r="AI13" s="27">
        <f t="shared" si="22"/>
        <v>-5363</v>
      </c>
      <c r="AJ13" s="27">
        <f t="shared" si="22"/>
        <v>34</v>
      </c>
      <c r="AK13" s="27">
        <f t="shared" si="22"/>
        <v>0</v>
      </c>
      <c r="AL13" s="27">
        <f>AL6-AL7-AL9-AL11</f>
        <v>18610</v>
      </c>
      <c r="AM13" s="27">
        <f>AM6-AM7-AM9-AM11</f>
        <v>40400</v>
      </c>
      <c r="AN13" s="27">
        <f t="shared" si="22"/>
        <v>27930</v>
      </c>
      <c r="AO13" s="27">
        <f>AO6-AO7-AO9-AO11</f>
        <v>13510</v>
      </c>
      <c r="AP13" s="27">
        <f t="shared" si="22"/>
        <v>14090</v>
      </c>
      <c r="AQ13" s="27">
        <f>AQ6-AQ7-AQ9-AQ11</f>
        <v>10805.07</v>
      </c>
      <c r="AR13" s="27">
        <f t="shared" si="22"/>
        <v>0</v>
      </c>
      <c r="AS13" s="27">
        <f t="shared" ref="AS13:AT13" si="24">AS6-AS7-AS9-AS11</f>
        <v>0</v>
      </c>
      <c r="AT13" s="27">
        <f t="shared" si="24"/>
        <v>22600</v>
      </c>
    </row>
    <row r="14" spans="1:46" s="64" customFormat="1" ht="105" x14ac:dyDescent="0.25">
      <c r="A14" s="54" t="s">
        <v>7</v>
      </c>
      <c r="B14" s="63" t="s">
        <v>125</v>
      </c>
      <c r="C14" s="63" t="s">
        <v>125</v>
      </c>
      <c r="D14" s="63" t="s">
        <v>128</v>
      </c>
      <c r="E14" s="63" t="s">
        <v>129</v>
      </c>
      <c r="F14" s="63" t="s">
        <v>125</v>
      </c>
      <c r="G14" s="63" t="s">
        <v>125</v>
      </c>
      <c r="H14" s="63" t="s">
        <v>125</v>
      </c>
      <c r="I14" s="63" t="s">
        <v>125</v>
      </c>
      <c r="J14" s="63" t="s">
        <v>125</v>
      </c>
      <c r="K14" s="63" t="s">
        <v>125</v>
      </c>
      <c r="L14" s="63" t="s">
        <v>125</v>
      </c>
      <c r="M14" s="63"/>
      <c r="N14" s="63"/>
      <c r="O14" s="63" t="s">
        <v>125</v>
      </c>
      <c r="P14" s="63" t="s">
        <v>125</v>
      </c>
      <c r="Q14" s="63" t="s">
        <v>125</v>
      </c>
      <c r="R14" s="52" t="s">
        <v>125</v>
      </c>
      <c r="S14" s="28"/>
      <c r="T14" s="52" t="s">
        <v>125</v>
      </c>
      <c r="U14" s="52"/>
      <c r="V14" s="52" t="s">
        <v>125</v>
      </c>
      <c r="W14" s="53"/>
      <c r="X14" s="54"/>
      <c r="Y14" s="54"/>
      <c r="Z14" s="54"/>
      <c r="AA14" s="54" t="s">
        <v>76</v>
      </c>
      <c r="AB14" s="54" t="s">
        <v>76</v>
      </c>
      <c r="AC14" s="54" t="s">
        <v>76</v>
      </c>
      <c r="AD14" s="54" t="s">
        <v>120</v>
      </c>
      <c r="AE14" s="54"/>
      <c r="AF14" s="54" t="s">
        <v>137</v>
      </c>
      <c r="AG14" s="54" t="s">
        <v>149</v>
      </c>
      <c r="AH14" s="54" t="s">
        <v>137</v>
      </c>
      <c r="AI14" s="54" t="s">
        <v>137</v>
      </c>
      <c r="AJ14" s="54"/>
      <c r="AK14" s="54"/>
      <c r="AL14" s="54" t="s">
        <v>38</v>
      </c>
      <c r="AM14" s="54" t="s">
        <v>38</v>
      </c>
      <c r="AN14" s="54" t="s">
        <v>38</v>
      </c>
      <c r="AO14" s="54" t="s">
        <v>38</v>
      </c>
      <c r="AP14" s="54" t="s">
        <v>38</v>
      </c>
      <c r="AQ14" s="54" t="s">
        <v>38</v>
      </c>
      <c r="AR14" s="54"/>
      <c r="AS14" s="54"/>
      <c r="AT14" s="54" t="s">
        <v>38</v>
      </c>
    </row>
    <row r="15" spans="1:46" x14ac:dyDescent="0.25">
      <c r="B15" s="65"/>
      <c r="C15" s="65"/>
      <c r="D15" s="65"/>
      <c r="E15" s="65"/>
      <c r="F15" s="65"/>
      <c r="G15" s="65"/>
      <c r="H15" s="65"/>
      <c r="I15" s="65"/>
      <c r="J15" s="65"/>
      <c r="K15" s="65"/>
      <c r="L15" s="65"/>
      <c r="M15" s="65"/>
      <c r="N15" s="65"/>
      <c r="O15" s="65"/>
      <c r="P15" s="65"/>
      <c r="Q15" s="65"/>
      <c r="R15" s="63"/>
      <c r="S15" s="63"/>
      <c r="T15" s="63"/>
      <c r="U15" s="63"/>
      <c r="V15" s="63"/>
      <c r="W15" s="63"/>
    </row>
    <row r="16" spans="1:46" ht="150" x14ac:dyDescent="0.25">
      <c r="A16" s="54" t="s">
        <v>26</v>
      </c>
      <c r="B16" s="63"/>
      <c r="C16" s="63" t="s">
        <v>60</v>
      </c>
      <c r="D16" s="66"/>
      <c r="E16" s="66"/>
      <c r="F16" s="66"/>
      <c r="G16" s="63" t="s">
        <v>59</v>
      </c>
      <c r="H16" s="63" t="s">
        <v>60</v>
      </c>
      <c r="I16" s="63" t="s">
        <v>60</v>
      </c>
      <c r="J16" s="63" t="s">
        <v>62</v>
      </c>
      <c r="K16" s="66"/>
      <c r="L16" s="63" t="s">
        <v>55</v>
      </c>
      <c r="M16" s="63"/>
      <c r="N16" s="63" t="s">
        <v>56</v>
      </c>
      <c r="O16" s="63" t="s">
        <v>60</v>
      </c>
      <c r="P16" s="63" t="s">
        <v>57</v>
      </c>
      <c r="Q16" s="63" t="s">
        <v>58</v>
      </c>
      <c r="R16" s="65" t="s">
        <v>63</v>
      </c>
      <c r="S16" s="65" t="s">
        <v>63</v>
      </c>
      <c r="T16" s="65" t="s">
        <v>63</v>
      </c>
      <c r="U16" s="65" t="s">
        <v>63</v>
      </c>
      <c r="V16" s="65" t="s">
        <v>64</v>
      </c>
      <c r="W16" s="56" t="s">
        <v>64</v>
      </c>
      <c r="X16" s="55"/>
      <c r="Y16" s="55"/>
      <c r="Z16" s="55"/>
      <c r="AA16" s="55"/>
      <c r="AB16" s="55"/>
      <c r="AC16" s="55"/>
      <c r="AD16" s="55"/>
      <c r="AE16" s="55"/>
      <c r="AF16" s="55"/>
      <c r="AG16" s="55"/>
      <c r="AH16" s="55"/>
      <c r="AI16" s="55"/>
      <c r="AJ16" s="55"/>
      <c r="AK16" s="55"/>
      <c r="AL16" s="70" t="s">
        <v>117</v>
      </c>
      <c r="AM16" s="71"/>
      <c r="AN16" s="71"/>
      <c r="AO16" s="71"/>
      <c r="AP16" s="71"/>
      <c r="AQ16" s="71"/>
      <c r="AR16" s="72"/>
    </row>
    <row r="17" spans="1:46" x14ac:dyDescent="0.25">
      <c r="B17" s="65"/>
      <c r="C17" s="65"/>
      <c r="D17" s="65"/>
      <c r="E17" s="65"/>
      <c r="F17" s="65"/>
      <c r="G17" s="65"/>
      <c r="H17" s="65"/>
      <c r="I17" s="65"/>
      <c r="J17" s="65"/>
      <c r="K17" s="65"/>
      <c r="L17" s="65"/>
      <c r="M17" s="65"/>
      <c r="N17" s="65"/>
      <c r="O17" s="65"/>
      <c r="P17" s="65"/>
      <c r="Q17" s="65"/>
      <c r="R17" s="63"/>
      <c r="S17" s="63"/>
      <c r="T17" s="63"/>
      <c r="U17" s="63"/>
      <c r="V17" s="63"/>
      <c r="W17" s="54"/>
    </row>
    <row r="18" spans="1:46" ht="195" x14ac:dyDescent="0.25">
      <c r="A18" s="87" t="s">
        <v>61</v>
      </c>
      <c r="B18" s="63" t="s">
        <v>126</v>
      </c>
      <c r="C18" s="63"/>
      <c r="D18" s="63" t="s">
        <v>49</v>
      </c>
      <c r="E18" s="63" t="s">
        <v>50</v>
      </c>
      <c r="F18" s="63" t="s">
        <v>130</v>
      </c>
      <c r="G18" s="63" t="s">
        <v>132</v>
      </c>
      <c r="H18" s="63"/>
      <c r="I18" s="63"/>
      <c r="J18" s="63"/>
      <c r="K18" s="63" t="s">
        <v>51</v>
      </c>
      <c r="L18" s="63"/>
      <c r="M18" s="63"/>
      <c r="N18" s="63"/>
      <c r="O18" s="63"/>
      <c r="P18" s="63" t="s">
        <v>50</v>
      </c>
      <c r="Q18" s="63"/>
      <c r="R18" s="65"/>
      <c r="S18" s="65"/>
      <c r="T18" s="65"/>
      <c r="U18" s="65"/>
      <c r="V18" s="65"/>
      <c r="X18" s="55"/>
      <c r="Y18" s="55"/>
      <c r="Z18" s="55"/>
      <c r="AA18" s="55"/>
      <c r="AB18" s="55"/>
      <c r="AC18" s="55"/>
      <c r="AD18" s="55"/>
      <c r="AE18" s="55"/>
      <c r="AF18" s="55"/>
      <c r="AG18" s="55"/>
      <c r="AH18" s="55"/>
      <c r="AI18" s="55"/>
      <c r="AJ18" s="55"/>
      <c r="AK18" s="55"/>
      <c r="AL18" s="55"/>
      <c r="AM18" s="55"/>
      <c r="AN18" s="55"/>
      <c r="AO18" s="55"/>
      <c r="AP18" s="55"/>
      <c r="AQ18" s="55"/>
      <c r="AR18" s="55"/>
      <c r="AS18" s="55"/>
      <c r="AT18" s="55"/>
    </row>
    <row r="19" spans="1:46" ht="45" x14ac:dyDescent="0.25">
      <c r="A19" s="87"/>
      <c r="B19" s="63" t="s">
        <v>127</v>
      </c>
      <c r="C19" s="63"/>
      <c r="D19" s="63"/>
      <c r="E19" s="63"/>
      <c r="F19" s="63"/>
      <c r="G19" s="63"/>
      <c r="H19" s="63"/>
      <c r="I19" s="63"/>
      <c r="J19" s="63"/>
      <c r="K19" s="63"/>
      <c r="L19" s="63"/>
      <c r="M19" s="63"/>
      <c r="N19" s="63"/>
      <c r="O19" s="63"/>
      <c r="P19" s="63" t="s">
        <v>135</v>
      </c>
      <c r="Q19" s="63"/>
      <c r="R19" s="63"/>
      <c r="S19" s="63"/>
      <c r="T19" s="63"/>
      <c r="U19" s="63"/>
      <c r="V19" s="63"/>
      <c r="W19" s="54"/>
      <c r="X19" s="55"/>
      <c r="Y19" s="55"/>
      <c r="Z19" s="55"/>
      <c r="AA19" s="55"/>
      <c r="AB19" s="55"/>
      <c r="AC19" s="55"/>
      <c r="AD19" s="55"/>
      <c r="AE19" s="55"/>
      <c r="AF19" s="55"/>
      <c r="AG19" s="55"/>
      <c r="AH19" s="55"/>
      <c r="AI19" s="55"/>
      <c r="AJ19" s="55"/>
      <c r="AK19" s="55"/>
      <c r="AL19" s="55"/>
      <c r="AM19" s="55"/>
      <c r="AN19" s="55"/>
      <c r="AO19" s="55"/>
      <c r="AP19" s="55"/>
      <c r="AQ19" s="55"/>
      <c r="AR19" s="55"/>
      <c r="AS19" s="55"/>
      <c r="AT19" s="55"/>
    </row>
    <row r="20" spans="1:46" ht="45" x14ac:dyDescent="0.25">
      <c r="A20" s="87"/>
      <c r="B20" s="63" t="s">
        <v>48</v>
      </c>
      <c r="C20" s="63"/>
      <c r="D20" s="63"/>
      <c r="E20" s="63"/>
      <c r="F20" s="63"/>
      <c r="G20" s="63"/>
      <c r="H20" s="63"/>
      <c r="I20" s="63"/>
      <c r="J20" s="63"/>
      <c r="K20" s="63"/>
      <c r="L20" s="63"/>
      <c r="M20" s="63"/>
      <c r="N20" s="63"/>
      <c r="O20" s="63"/>
      <c r="P20" s="63" t="s">
        <v>52</v>
      </c>
      <c r="Q20" s="63"/>
      <c r="R20" s="63"/>
      <c r="S20" s="63"/>
      <c r="T20" s="63"/>
      <c r="U20" s="63"/>
      <c r="V20" s="63"/>
      <c r="W20" s="54"/>
      <c r="X20" s="55"/>
      <c r="Y20" s="55"/>
      <c r="Z20" s="55"/>
      <c r="AA20" s="55"/>
      <c r="AB20" s="55"/>
      <c r="AC20" s="55"/>
      <c r="AD20" s="55"/>
      <c r="AE20" s="55"/>
      <c r="AF20" s="55"/>
      <c r="AG20" s="55"/>
      <c r="AH20" s="55"/>
      <c r="AI20" s="55"/>
      <c r="AJ20" s="55"/>
      <c r="AK20" s="55"/>
      <c r="AL20" s="55"/>
      <c r="AM20" s="55"/>
      <c r="AN20" s="55"/>
      <c r="AO20" s="55"/>
      <c r="AP20" s="55"/>
      <c r="AQ20" s="55"/>
      <c r="AR20" s="55"/>
      <c r="AS20" s="55"/>
      <c r="AT20" s="55"/>
    </row>
    <row r="21" spans="1:46" x14ac:dyDescent="0.25">
      <c r="A21" s="87"/>
      <c r="B21" s="63"/>
      <c r="C21" s="63"/>
      <c r="D21" s="63"/>
      <c r="E21" s="63"/>
      <c r="F21" s="63"/>
      <c r="G21" s="63"/>
      <c r="H21" s="63"/>
      <c r="I21" s="63"/>
      <c r="J21" s="63"/>
      <c r="K21" s="63"/>
      <c r="L21" s="63"/>
      <c r="M21" s="63"/>
      <c r="N21" s="63"/>
      <c r="O21" s="63"/>
      <c r="P21" s="63"/>
      <c r="Q21" s="63"/>
      <c r="R21" s="63"/>
      <c r="S21" s="63"/>
      <c r="T21" s="63"/>
      <c r="U21" s="63"/>
      <c r="V21" s="63"/>
      <c r="W21" s="54"/>
      <c r="X21" s="55"/>
      <c r="Y21" s="55"/>
      <c r="Z21" s="55"/>
      <c r="AA21" s="55"/>
      <c r="AB21" s="55"/>
      <c r="AC21" s="55"/>
      <c r="AD21" s="55"/>
      <c r="AE21" s="55"/>
      <c r="AF21" s="55"/>
      <c r="AG21" s="55"/>
      <c r="AH21" s="55"/>
      <c r="AI21" s="55"/>
      <c r="AJ21" s="55"/>
      <c r="AK21" s="55"/>
      <c r="AL21" s="55"/>
      <c r="AM21" s="55"/>
      <c r="AN21" s="55"/>
      <c r="AO21" s="55"/>
      <c r="AP21" s="55"/>
      <c r="AQ21" s="55"/>
      <c r="AR21" s="55"/>
      <c r="AS21" s="55"/>
      <c r="AT21" s="55"/>
    </row>
    <row r="22" spans="1:46" x14ac:dyDescent="0.25">
      <c r="A22" s="87"/>
      <c r="B22" s="63"/>
      <c r="C22" s="63"/>
      <c r="D22" s="63"/>
      <c r="E22" s="63"/>
      <c r="F22" s="63"/>
      <c r="G22" s="63"/>
      <c r="H22" s="63"/>
      <c r="I22" s="63"/>
      <c r="J22" s="63"/>
      <c r="K22" s="63"/>
      <c r="L22" s="63"/>
      <c r="M22" s="63"/>
      <c r="N22" s="63"/>
      <c r="O22" s="63"/>
      <c r="P22" s="63"/>
      <c r="Q22" s="63"/>
      <c r="R22" s="63"/>
      <c r="S22" s="63"/>
      <c r="T22" s="63"/>
      <c r="U22" s="63"/>
      <c r="V22" s="63"/>
      <c r="W22" s="54"/>
      <c r="X22" s="55"/>
      <c r="Y22" s="55"/>
      <c r="Z22" s="55"/>
      <c r="AA22" s="55"/>
      <c r="AB22" s="55"/>
      <c r="AC22" s="55"/>
      <c r="AD22" s="55"/>
      <c r="AE22" s="55"/>
      <c r="AF22" s="55"/>
      <c r="AG22" s="55"/>
      <c r="AH22" s="55"/>
      <c r="AI22" s="55"/>
      <c r="AJ22" s="55"/>
      <c r="AK22" s="55"/>
      <c r="AL22" s="55"/>
      <c r="AM22" s="55"/>
      <c r="AN22" s="55"/>
      <c r="AO22" s="55"/>
      <c r="AP22" s="55"/>
      <c r="AQ22" s="55"/>
      <c r="AR22" s="55"/>
      <c r="AS22" s="55"/>
      <c r="AT22" s="55"/>
    </row>
    <row r="23" spans="1:46" x14ac:dyDescent="0.25">
      <c r="A23" s="67"/>
      <c r="B23" s="63"/>
      <c r="C23" s="63"/>
      <c r="D23" s="63"/>
      <c r="E23" s="63"/>
      <c r="F23" s="63"/>
      <c r="G23" s="63"/>
      <c r="H23" s="63"/>
      <c r="I23" s="63"/>
      <c r="J23" s="63"/>
      <c r="K23" s="63"/>
      <c r="L23" s="63"/>
      <c r="M23" s="63"/>
      <c r="N23" s="63"/>
      <c r="P23" s="63"/>
      <c r="Q23" s="63"/>
      <c r="R23" s="63"/>
      <c r="S23" s="63"/>
      <c r="T23" s="63"/>
      <c r="U23" s="63"/>
      <c r="V23" s="63"/>
      <c r="W23" s="54"/>
    </row>
    <row r="24" spans="1:46" x14ac:dyDescent="0.25">
      <c r="A24" s="68" t="s">
        <v>41</v>
      </c>
      <c r="B24" s="65"/>
      <c r="C24" s="65"/>
      <c r="D24" s="65"/>
      <c r="E24" s="65"/>
      <c r="F24" s="65"/>
      <c r="G24" s="65"/>
      <c r="H24" s="65"/>
      <c r="I24" s="65"/>
      <c r="J24" s="65"/>
      <c r="K24" s="65"/>
      <c r="L24" s="65"/>
      <c r="M24" s="65"/>
      <c r="N24" s="65"/>
      <c r="O24" s="55"/>
      <c r="P24" s="65"/>
      <c r="Q24" s="65"/>
      <c r="R24" s="65"/>
      <c r="S24" s="65"/>
      <c r="T24" s="65"/>
      <c r="U24" s="65"/>
      <c r="V24" s="65"/>
      <c r="X24" s="55"/>
      <c r="Y24" s="55"/>
      <c r="Z24" s="55"/>
      <c r="AA24" s="55"/>
      <c r="AB24" s="55"/>
      <c r="AC24" s="55"/>
      <c r="AD24" s="55"/>
      <c r="AE24" s="55"/>
      <c r="AF24" s="55"/>
      <c r="AG24" s="55"/>
      <c r="AH24" s="55"/>
      <c r="AI24" s="55"/>
      <c r="AJ24" s="55"/>
      <c r="AK24" s="55"/>
      <c r="AL24" s="55"/>
      <c r="AM24" s="55"/>
      <c r="AN24" s="55"/>
      <c r="AO24" s="55"/>
      <c r="AP24" s="55"/>
      <c r="AQ24" s="55"/>
      <c r="AR24" s="55"/>
      <c r="AS24" s="55"/>
      <c r="AT24" s="55"/>
    </row>
    <row r="25" spans="1:46" x14ac:dyDescent="0.25">
      <c r="A25" s="67"/>
      <c r="B25" s="66"/>
      <c r="C25" s="66"/>
      <c r="D25" s="66"/>
      <c r="E25" s="66"/>
      <c r="F25" s="66"/>
      <c r="G25" s="66"/>
      <c r="H25" s="66"/>
      <c r="I25" s="66"/>
      <c r="J25" s="69"/>
      <c r="K25" s="66"/>
      <c r="L25" s="66"/>
      <c r="M25" s="66"/>
      <c r="N25" s="66"/>
      <c r="P25" s="66"/>
      <c r="Q25" s="66"/>
      <c r="R25" s="66"/>
      <c r="S25" s="66"/>
      <c r="T25" s="66"/>
      <c r="U25" s="66"/>
      <c r="V25" s="66"/>
      <c r="W25" s="55"/>
    </row>
    <row r="26" spans="1:46" x14ac:dyDescent="0.25">
      <c r="A26" s="87" t="s">
        <v>42</v>
      </c>
      <c r="B26" s="66"/>
      <c r="C26" s="66"/>
      <c r="D26" s="66"/>
      <c r="E26" s="66"/>
      <c r="F26" s="66"/>
      <c r="G26" s="66"/>
      <c r="H26" s="66"/>
      <c r="I26" s="66"/>
      <c r="J26" s="69"/>
      <c r="K26" s="66"/>
      <c r="L26" s="66"/>
      <c r="M26" s="66"/>
      <c r="N26" s="66"/>
      <c r="O26" s="55"/>
      <c r="P26" s="66"/>
      <c r="Q26" s="66"/>
      <c r="R26" s="66"/>
      <c r="S26" s="66"/>
      <c r="T26" s="66"/>
      <c r="U26" s="66"/>
      <c r="V26" s="66"/>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row>
    <row r="27" spans="1:46" x14ac:dyDescent="0.25">
      <c r="A27" s="87"/>
      <c r="B27" s="66"/>
      <c r="C27" s="66"/>
      <c r="D27" s="66"/>
      <c r="E27" s="69"/>
      <c r="F27" s="66"/>
      <c r="G27" s="66"/>
      <c r="H27" s="66"/>
      <c r="I27" s="66"/>
      <c r="J27" s="69"/>
      <c r="K27" s="66"/>
      <c r="L27" s="66"/>
      <c r="M27" s="66"/>
      <c r="N27" s="66"/>
      <c r="O27" s="55"/>
      <c r="P27" s="66"/>
      <c r="Q27" s="66"/>
      <c r="R27" s="66"/>
      <c r="S27" s="66"/>
      <c r="T27" s="66"/>
      <c r="U27" s="66"/>
      <c r="V27" s="66"/>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row>
    <row r="28" spans="1:46" x14ac:dyDescent="0.25">
      <c r="A28" s="87"/>
      <c r="B28" s="65"/>
      <c r="C28" s="65"/>
      <c r="D28" s="65"/>
      <c r="E28" s="65"/>
      <c r="F28" s="65"/>
      <c r="G28" s="65"/>
      <c r="H28" s="65"/>
      <c r="I28" s="65"/>
      <c r="J28" s="65"/>
      <c r="K28" s="65"/>
      <c r="L28" s="65"/>
      <c r="M28" s="65"/>
      <c r="N28" s="65"/>
      <c r="O28" s="55"/>
      <c r="P28" s="65"/>
      <c r="Q28" s="65"/>
      <c r="R28" s="65"/>
      <c r="S28" s="65"/>
      <c r="T28" s="65"/>
      <c r="U28" s="65"/>
      <c r="V28" s="65"/>
      <c r="X28" s="55"/>
      <c r="Y28" s="55"/>
      <c r="Z28" s="55"/>
      <c r="AA28" s="55"/>
      <c r="AB28" s="55"/>
      <c r="AC28" s="55"/>
      <c r="AD28" s="55"/>
      <c r="AE28" s="55"/>
      <c r="AF28" s="55"/>
      <c r="AG28" s="55"/>
      <c r="AH28" s="55"/>
      <c r="AI28" s="55"/>
      <c r="AJ28" s="55"/>
      <c r="AK28" s="55"/>
      <c r="AL28" s="55"/>
      <c r="AM28" s="55"/>
      <c r="AN28" s="55"/>
      <c r="AO28" s="55"/>
      <c r="AP28" s="55"/>
      <c r="AQ28" s="55"/>
      <c r="AR28" s="55"/>
      <c r="AS28" s="55"/>
      <c r="AT28" s="55"/>
    </row>
    <row r="29" spans="1:46" x14ac:dyDescent="0.25">
      <c r="A29" s="87"/>
      <c r="B29" s="63"/>
      <c r="C29" s="63"/>
      <c r="D29" s="63"/>
      <c r="E29" s="63"/>
      <c r="F29" s="63"/>
      <c r="G29" s="63"/>
      <c r="H29" s="63"/>
      <c r="I29" s="63"/>
      <c r="J29" s="63"/>
      <c r="K29" s="63"/>
      <c r="L29" s="63"/>
      <c r="M29" s="63"/>
      <c r="N29" s="63"/>
      <c r="O29" s="55"/>
      <c r="P29" s="63"/>
      <c r="Q29" s="63"/>
      <c r="R29" s="63"/>
      <c r="S29" s="63"/>
      <c r="T29" s="63"/>
      <c r="U29" s="63"/>
      <c r="V29" s="63"/>
      <c r="W29" s="54"/>
      <c r="X29" s="55"/>
      <c r="Y29" s="55"/>
      <c r="Z29" s="55"/>
      <c r="AA29" s="55"/>
      <c r="AB29" s="55"/>
      <c r="AC29" s="55"/>
      <c r="AD29" s="55"/>
      <c r="AE29" s="55"/>
      <c r="AF29" s="55"/>
      <c r="AG29" s="55"/>
      <c r="AH29" s="55"/>
      <c r="AI29" s="55"/>
      <c r="AJ29" s="55"/>
      <c r="AK29" s="55"/>
      <c r="AL29" s="55"/>
      <c r="AM29" s="55"/>
      <c r="AN29" s="55"/>
      <c r="AO29" s="55"/>
      <c r="AP29" s="55"/>
      <c r="AQ29" s="55"/>
      <c r="AR29" s="55"/>
      <c r="AS29" s="55"/>
      <c r="AT29" s="55"/>
    </row>
    <row r="30" spans="1:46" x14ac:dyDescent="0.25">
      <c r="A30" s="87"/>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row>
    <row r="31" spans="1:46" x14ac:dyDescent="0.25">
      <c r="A31" s="67"/>
    </row>
    <row r="32" spans="1:46" ht="14.45" customHeight="1" x14ac:dyDescent="0.25">
      <c r="A32" s="54" t="s">
        <v>8</v>
      </c>
      <c r="B32" s="66">
        <f>2202+274</f>
        <v>2476</v>
      </c>
      <c r="C32" s="66">
        <v>336</v>
      </c>
      <c r="D32" s="66">
        <v>1791</v>
      </c>
      <c r="E32" s="66">
        <v>1563</v>
      </c>
      <c r="F32" s="66">
        <v>223</v>
      </c>
      <c r="G32" s="66">
        <v>73</v>
      </c>
      <c r="H32" s="66">
        <v>102</v>
      </c>
      <c r="I32" s="66">
        <v>210</v>
      </c>
      <c r="J32" s="69">
        <f>1400+1254+313</f>
        <v>2967</v>
      </c>
      <c r="K32" s="66">
        <v>21</v>
      </c>
      <c r="L32" s="66">
        <v>2683</v>
      </c>
      <c r="M32" s="66">
        <v>0</v>
      </c>
      <c r="N32" s="66">
        <v>0</v>
      </c>
      <c r="O32" s="66">
        <v>1223</v>
      </c>
      <c r="P32" s="66">
        <f>126+1389</f>
        <v>1515</v>
      </c>
      <c r="Q32" s="66">
        <v>476</v>
      </c>
      <c r="R32" s="66">
        <v>524</v>
      </c>
      <c r="S32" s="66">
        <v>1221</v>
      </c>
      <c r="T32" s="66">
        <v>505</v>
      </c>
      <c r="U32" s="66">
        <v>1339</v>
      </c>
      <c r="V32" s="66">
        <v>2112</v>
      </c>
      <c r="W32" s="55">
        <v>3225</v>
      </c>
      <c r="X32" s="82" t="s">
        <v>46</v>
      </c>
      <c r="Y32" s="82" t="s">
        <v>46</v>
      </c>
      <c r="Z32" s="82" t="s">
        <v>46</v>
      </c>
      <c r="AA32" s="82" t="s">
        <v>46</v>
      </c>
      <c r="AB32" s="82" t="s">
        <v>46</v>
      </c>
      <c r="AC32" s="82" t="s">
        <v>46</v>
      </c>
      <c r="AD32" s="82" t="s">
        <v>46</v>
      </c>
      <c r="AE32" s="82" t="s">
        <v>46</v>
      </c>
      <c r="AF32" s="82" t="s">
        <v>46</v>
      </c>
      <c r="AG32" s="82" t="s">
        <v>46</v>
      </c>
      <c r="AH32" s="82" t="s">
        <v>46</v>
      </c>
      <c r="AI32" s="82" t="s">
        <v>46</v>
      </c>
      <c r="AJ32" s="82" t="s">
        <v>46</v>
      </c>
      <c r="AK32" s="82" t="s">
        <v>46</v>
      </c>
      <c r="AL32" s="73" t="s">
        <v>118</v>
      </c>
      <c r="AM32" s="74"/>
      <c r="AN32" s="74"/>
      <c r="AO32" s="74"/>
      <c r="AP32" s="74"/>
      <c r="AQ32" s="74"/>
      <c r="AR32" s="75"/>
    </row>
    <row r="33" spans="1:46" x14ac:dyDescent="0.25">
      <c r="A33" s="54" t="s">
        <v>9</v>
      </c>
      <c r="B33" s="66">
        <f>2202+274</f>
        <v>2476</v>
      </c>
      <c r="C33" s="66">
        <v>336</v>
      </c>
      <c r="D33" s="66">
        <v>1791</v>
      </c>
      <c r="E33" s="66">
        <v>1563</v>
      </c>
      <c r="F33" s="66">
        <v>223</v>
      </c>
      <c r="G33" s="66">
        <v>73</v>
      </c>
      <c r="H33" s="66">
        <v>102</v>
      </c>
      <c r="I33" s="66">
        <v>210</v>
      </c>
      <c r="J33" s="69">
        <f>1400+1254+313</f>
        <v>2967</v>
      </c>
      <c r="K33" s="66">
        <v>14</v>
      </c>
      <c r="L33" s="66">
        <v>2683</v>
      </c>
      <c r="M33" s="66">
        <v>0</v>
      </c>
      <c r="N33" s="66">
        <v>0</v>
      </c>
      <c r="O33" s="66">
        <v>1223</v>
      </c>
      <c r="P33" s="66">
        <f>126+1389</f>
        <v>1515</v>
      </c>
      <c r="Q33" s="66">
        <v>476</v>
      </c>
      <c r="R33" s="66">
        <v>524</v>
      </c>
      <c r="S33" s="66">
        <v>1221</v>
      </c>
      <c r="T33" s="66">
        <v>505</v>
      </c>
      <c r="U33" s="66">
        <v>1339</v>
      </c>
      <c r="V33" s="66">
        <v>2112</v>
      </c>
      <c r="W33" s="55">
        <v>3225</v>
      </c>
      <c r="X33" s="82"/>
      <c r="Y33" s="82"/>
      <c r="Z33" s="82"/>
      <c r="AA33" s="82"/>
      <c r="AB33" s="82"/>
      <c r="AC33" s="82"/>
      <c r="AD33" s="82"/>
      <c r="AE33" s="82"/>
      <c r="AF33" s="82"/>
      <c r="AG33" s="82"/>
      <c r="AH33" s="82"/>
      <c r="AI33" s="82"/>
      <c r="AJ33" s="82"/>
      <c r="AK33" s="82"/>
      <c r="AL33" s="76"/>
      <c r="AM33" s="77"/>
      <c r="AN33" s="77"/>
      <c r="AO33" s="77"/>
      <c r="AP33" s="77"/>
      <c r="AQ33" s="77"/>
      <c r="AR33" s="78"/>
    </row>
    <row r="34" spans="1:46" x14ac:dyDescent="0.25">
      <c r="A34" s="54" t="s">
        <v>10</v>
      </c>
      <c r="B34" s="66">
        <v>0</v>
      </c>
      <c r="C34" s="66">
        <v>0</v>
      </c>
      <c r="D34" s="66">
        <v>0</v>
      </c>
      <c r="E34" s="69">
        <v>0</v>
      </c>
      <c r="F34" s="66">
        <v>0</v>
      </c>
      <c r="G34" s="66">
        <v>0</v>
      </c>
      <c r="H34" s="66">
        <v>0</v>
      </c>
      <c r="I34" s="66"/>
      <c r="J34" s="69">
        <v>0</v>
      </c>
      <c r="K34" s="66">
        <v>0</v>
      </c>
      <c r="L34" s="66">
        <v>0</v>
      </c>
      <c r="M34" s="66">
        <v>0</v>
      </c>
      <c r="N34" s="66">
        <v>0</v>
      </c>
      <c r="O34" s="66">
        <v>0</v>
      </c>
      <c r="P34" s="66">
        <v>196</v>
      </c>
      <c r="Q34" s="66">
        <v>0</v>
      </c>
      <c r="R34" s="66">
        <v>0</v>
      </c>
      <c r="S34" s="66">
        <v>0</v>
      </c>
      <c r="T34" s="66">
        <v>0</v>
      </c>
      <c r="U34" s="66">
        <v>0</v>
      </c>
      <c r="V34" s="66">
        <v>0</v>
      </c>
      <c r="W34" s="55">
        <v>0</v>
      </c>
      <c r="X34" s="82"/>
      <c r="Y34" s="82"/>
      <c r="Z34" s="82"/>
      <c r="AA34" s="82"/>
      <c r="AB34" s="82"/>
      <c r="AC34" s="82"/>
      <c r="AD34" s="82"/>
      <c r="AE34" s="82"/>
      <c r="AF34" s="82"/>
      <c r="AG34" s="82"/>
      <c r="AH34" s="82"/>
      <c r="AI34" s="82"/>
      <c r="AJ34" s="82"/>
      <c r="AK34" s="82"/>
      <c r="AL34" s="79"/>
      <c r="AM34" s="80"/>
      <c r="AN34" s="80"/>
      <c r="AO34" s="80"/>
      <c r="AP34" s="80"/>
      <c r="AQ34" s="80"/>
      <c r="AR34" s="81"/>
    </row>
    <row r="35" spans="1:46" x14ac:dyDescent="0.25">
      <c r="B35" s="65"/>
      <c r="C35" s="65"/>
      <c r="D35" s="65"/>
      <c r="E35" s="65"/>
      <c r="F35" s="65"/>
      <c r="G35" s="65"/>
      <c r="H35" s="65"/>
      <c r="I35" s="65"/>
      <c r="J35" s="65"/>
      <c r="K35" s="65"/>
      <c r="L35" s="65"/>
      <c r="M35" s="65"/>
      <c r="N35" s="65"/>
      <c r="O35" s="65"/>
      <c r="P35" s="65"/>
      <c r="Q35" s="65"/>
      <c r="R35" s="65"/>
      <c r="S35" s="65"/>
      <c r="T35" s="65"/>
      <c r="U35" s="65"/>
      <c r="V35" s="65"/>
    </row>
    <row r="36" spans="1:46" s="64" customFormat="1" ht="60" x14ac:dyDescent="0.25">
      <c r="A36" s="54" t="s">
        <v>11</v>
      </c>
      <c r="B36" s="63" t="s">
        <v>116</v>
      </c>
      <c r="C36" s="63" t="s">
        <v>116</v>
      </c>
      <c r="D36" s="63" t="s">
        <v>116</v>
      </c>
      <c r="E36" s="63" t="s">
        <v>116</v>
      </c>
      <c r="F36" s="63" t="s">
        <v>116</v>
      </c>
      <c r="G36" s="63" t="s">
        <v>116</v>
      </c>
      <c r="H36" s="63" t="s">
        <v>116</v>
      </c>
      <c r="I36" s="63" t="s">
        <v>116</v>
      </c>
      <c r="J36" s="63" t="s">
        <v>116</v>
      </c>
      <c r="K36" s="63" t="s">
        <v>116</v>
      </c>
      <c r="L36" s="63" t="s">
        <v>116</v>
      </c>
      <c r="M36" s="63"/>
      <c r="N36" s="63" t="s">
        <v>116</v>
      </c>
      <c r="O36" s="63" t="s">
        <v>116</v>
      </c>
      <c r="P36" s="63" t="s">
        <v>116</v>
      </c>
      <c r="Q36" s="63" t="s">
        <v>116</v>
      </c>
      <c r="R36" s="63" t="s">
        <v>116</v>
      </c>
      <c r="S36" s="63" t="s">
        <v>116</v>
      </c>
      <c r="T36" s="63" t="s">
        <v>116</v>
      </c>
      <c r="U36" s="63" t="s">
        <v>116</v>
      </c>
      <c r="V36" s="63" t="s">
        <v>116</v>
      </c>
      <c r="W36" s="54" t="s">
        <v>116</v>
      </c>
      <c r="X36" s="54" t="s">
        <v>116</v>
      </c>
      <c r="Y36" s="54" t="s">
        <v>116</v>
      </c>
      <c r="Z36" s="54" t="s">
        <v>116</v>
      </c>
      <c r="AA36" s="54" t="s">
        <v>116</v>
      </c>
      <c r="AB36" s="54" t="s">
        <v>116</v>
      </c>
      <c r="AC36" s="54" t="s">
        <v>116</v>
      </c>
      <c r="AD36" s="54" t="s">
        <v>116</v>
      </c>
      <c r="AE36" s="54" t="s">
        <v>116</v>
      </c>
      <c r="AF36" s="54" t="s">
        <v>116</v>
      </c>
      <c r="AG36" s="54" t="s">
        <v>116</v>
      </c>
      <c r="AH36" s="54" t="s">
        <v>116</v>
      </c>
      <c r="AI36" s="54" t="s">
        <v>116</v>
      </c>
      <c r="AJ36" s="54" t="s">
        <v>116</v>
      </c>
      <c r="AK36" s="54" t="s">
        <v>116</v>
      </c>
      <c r="AL36" s="54" t="s">
        <v>116</v>
      </c>
      <c r="AM36" s="54" t="s">
        <v>116</v>
      </c>
      <c r="AN36" s="54" t="s">
        <v>116</v>
      </c>
      <c r="AO36" s="54" t="s">
        <v>116</v>
      </c>
      <c r="AP36" s="54" t="s">
        <v>116</v>
      </c>
      <c r="AQ36" s="54" t="s">
        <v>116</v>
      </c>
      <c r="AR36" s="54" t="s">
        <v>116</v>
      </c>
      <c r="AS36" s="54" t="s">
        <v>116</v>
      </c>
      <c r="AT36" s="54" t="s">
        <v>116</v>
      </c>
    </row>
  </sheetData>
  <mergeCells count="22">
    <mergeCell ref="A18:A22"/>
    <mergeCell ref="X32:X34"/>
    <mergeCell ref="Y32:Y34"/>
    <mergeCell ref="Z32:Z34"/>
    <mergeCell ref="AE32:AE34"/>
    <mergeCell ref="AD32:AD34"/>
    <mergeCell ref="AC32:AC34"/>
    <mergeCell ref="AB32:AB34"/>
    <mergeCell ref="AA32:AA34"/>
    <mergeCell ref="A26:A30"/>
    <mergeCell ref="AL16:AR16"/>
    <mergeCell ref="AL32:AR34"/>
    <mergeCell ref="AJ32:AJ34"/>
    <mergeCell ref="AK32:AK34"/>
    <mergeCell ref="B2:I2"/>
    <mergeCell ref="J2:W2"/>
    <mergeCell ref="X2:AK2"/>
    <mergeCell ref="AL2:AR2"/>
    <mergeCell ref="AF32:AF34"/>
    <mergeCell ref="AG32:AG34"/>
    <mergeCell ref="AH32:AH34"/>
    <mergeCell ref="AI32:AI34"/>
  </mergeCells>
  <printOptions verticalCentered="1"/>
  <pageMargins left="0.25" right="0.25" top="0.75" bottom="0.75" header="0.3" footer="0.3"/>
  <pageSetup scale="46" fitToWidth="0" orientation="landscape" r:id="rId1"/>
  <headerFooter>
    <oddHeader>&amp;CPurchase Area Development District
FY 2024
KRS 147a.115 Report</oddHeader>
  </headerFooter>
  <colBreaks count="3" manualBreakCount="3">
    <brk id="9" max="1048575" man="1"/>
    <brk id="23" max="1048575" man="1"/>
    <brk id="37"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X36"/>
  <sheetViews>
    <sheetView zoomScaleNormal="100" workbookViewId="0">
      <selection activeCell="B32" sqref="B32:W33"/>
    </sheetView>
  </sheetViews>
  <sheetFormatPr defaultColWidth="8.7109375" defaultRowHeight="15" x14ac:dyDescent="0.25"/>
  <cols>
    <col min="1" max="1" width="27" style="1" customWidth="1"/>
    <col min="2" max="2" width="42" customWidth="1"/>
    <col min="3" max="3" width="15" customWidth="1"/>
    <col min="4" max="4" width="35.7109375" customWidth="1"/>
    <col min="5" max="5" width="31" customWidth="1"/>
    <col min="6" max="6" width="26" customWidth="1"/>
    <col min="7" max="7" width="22.85546875" customWidth="1"/>
    <col min="8" max="8" width="18.140625" customWidth="1"/>
    <col min="9" max="9" width="17" customWidth="1"/>
    <col min="10" max="10" width="18.28515625" customWidth="1"/>
    <col min="11" max="11" width="19.28515625" customWidth="1"/>
    <col min="12" max="12" width="14.85546875" customWidth="1"/>
    <col min="13" max="13" width="16.7109375" customWidth="1"/>
    <col min="14" max="14" width="17.42578125" customWidth="1"/>
    <col min="15" max="15" width="15.85546875" customWidth="1"/>
    <col min="16" max="16" width="32.85546875" customWidth="1"/>
    <col min="17" max="23" width="14.85546875" customWidth="1"/>
    <col min="24" max="24" width="35.28515625" bestFit="1" customWidth="1"/>
  </cols>
  <sheetData>
    <row r="3" spans="1:24" s="2" customFormat="1" ht="45" x14ac:dyDescent="0.25">
      <c r="A3" s="3"/>
      <c r="B3" s="3" t="s">
        <v>12</v>
      </c>
      <c r="C3" s="3" t="s">
        <v>89</v>
      </c>
      <c r="D3" s="3" t="s">
        <v>13</v>
      </c>
      <c r="E3" s="3" t="s">
        <v>14</v>
      </c>
      <c r="F3" s="3" t="s">
        <v>44</v>
      </c>
      <c r="G3" s="3" t="s">
        <v>15</v>
      </c>
      <c r="H3" s="3" t="s">
        <v>45</v>
      </c>
      <c r="I3" s="3" t="s">
        <v>16</v>
      </c>
      <c r="J3" s="3" t="s">
        <v>141</v>
      </c>
      <c r="K3" s="3" t="s">
        <v>18</v>
      </c>
      <c r="L3" s="3" t="s">
        <v>19</v>
      </c>
      <c r="M3" s="3" t="s">
        <v>20</v>
      </c>
      <c r="N3" s="3" t="s">
        <v>21</v>
      </c>
      <c r="O3" s="3" t="s">
        <v>22</v>
      </c>
      <c r="P3" s="3" t="s">
        <v>23</v>
      </c>
      <c r="Q3" s="3" t="s">
        <v>24</v>
      </c>
      <c r="R3" s="3" t="s">
        <v>142</v>
      </c>
      <c r="S3" s="3" t="s">
        <v>143</v>
      </c>
      <c r="T3" s="3" t="s">
        <v>144</v>
      </c>
      <c r="U3" s="3" t="s">
        <v>145</v>
      </c>
      <c r="V3" s="3" t="s">
        <v>146</v>
      </c>
      <c r="W3" s="3" t="s">
        <v>147</v>
      </c>
    </row>
    <row r="4" spans="1:24" s="10" customFormat="1" x14ac:dyDescent="0.25">
      <c r="A4" s="18" t="str">
        <f>Overall!A4</f>
        <v>Grant Award</v>
      </c>
      <c r="B4" s="28">
        <f>66348+215656.6+220611.49+297861+52200</f>
        <v>852677.09</v>
      </c>
      <c r="C4" s="28">
        <v>53672.93</v>
      </c>
      <c r="D4" s="28">
        <f>232770+228835.61+190951.32+13270+36376+19676+12125</f>
        <v>734003.92999999993</v>
      </c>
      <c r="E4" s="28">
        <f>63268.21+461566.4+202301.18+307134+16800+657000</f>
        <v>1708069.79</v>
      </c>
      <c r="F4" s="28">
        <v>66615.89</v>
      </c>
      <c r="G4" s="28">
        <f>19523+356541.07+10329.1</f>
        <v>386393.17</v>
      </c>
      <c r="H4" s="28">
        <v>9234.2999999999993</v>
      </c>
      <c r="I4" s="28">
        <f>10569+6916.46+7491+12894.48+2000</f>
        <v>39870.94</v>
      </c>
      <c r="J4" s="28">
        <v>146830.29999999999</v>
      </c>
      <c r="K4" s="28">
        <f>10099+171985+7972</f>
        <v>190056</v>
      </c>
      <c r="L4" s="28">
        <v>36000</v>
      </c>
      <c r="M4" s="28"/>
      <c r="N4" s="28">
        <v>1000</v>
      </c>
      <c r="O4" s="28">
        <v>46509</v>
      </c>
      <c r="P4" s="28">
        <f>84204+694719.94</f>
        <v>778923.94</v>
      </c>
      <c r="Q4" s="28">
        <f>2332.5+42667.5</f>
        <v>45000</v>
      </c>
      <c r="R4" s="28">
        <v>9347</v>
      </c>
      <c r="S4" s="28">
        <v>15908.71</v>
      </c>
      <c r="T4" s="28">
        <v>8404</v>
      </c>
      <c r="U4" s="28">
        <v>17335</v>
      </c>
      <c r="V4" s="28">
        <v>3858</v>
      </c>
      <c r="W4" s="28">
        <v>4000</v>
      </c>
      <c r="X4" s="4">
        <f>SUM(B4:W4)</f>
        <v>5153709.9899999993</v>
      </c>
    </row>
    <row r="5" spans="1:24" s="10" customFormat="1" ht="30" x14ac:dyDescent="0.25">
      <c r="A5" s="18" t="str">
        <f>Overall!A5</f>
        <v>Local Funds (Match or applied)</v>
      </c>
      <c r="B5" s="29">
        <f>61926.6+2774.31</f>
        <v>64700.909999999996</v>
      </c>
      <c r="C5" s="28">
        <v>0</v>
      </c>
      <c r="D5" s="28">
        <f>43283.41+90135.46</f>
        <v>133418.87</v>
      </c>
      <c r="E5" s="28">
        <f>40739.57+176891.69+600</f>
        <v>218231.26</v>
      </c>
      <c r="F5" s="28">
        <v>1452.97</v>
      </c>
      <c r="G5" s="28">
        <v>0</v>
      </c>
      <c r="H5" s="28">
        <v>0</v>
      </c>
      <c r="I5" s="28">
        <v>0</v>
      </c>
      <c r="J5" s="28">
        <v>0</v>
      </c>
      <c r="K5" s="28">
        <f>13853.87+883.63</f>
        <v>14737.5</v>
      </c>
      <c r="L5" s="28"/>
      <c r="M5" s="28"/>
      <c r="N5" s="28"/>
      <c r="O5" s="28">
        <v>23.16</v>
      </c>
      <c r="P5" s="28">
        <f>865.61</f>
        <v>865.61</v>
      </c>
      <c r="Q5" s="28">
        <v>0</v>
      </c>
      <c r="R5" s="28">
        <v>0</v>
      </c>
      <c r="S5" s="28">
        <v>0</v>
      </c>
      <c r="T5" s="28">
        <v>0</v>
      </c>
      <c r="U5" s="28">
        <v>3544.65</v>
      </c>
      <c r="V5" s="28">
        <v>0</v>
      </c>
      <c r="W5" s="27">
        <v>617.38</v>
      </c>
      <c r="X5" s="4">
        <f t="shared" ref="X5:X13" si="0">SUM(B5:W5)</f>
        <v>437592.31</v>
      </c>
    </row>
    <row r="6" spans="1:24" s="10" customFormat="1" x14ac:dyDescent="0.25">
      <c r="A6" s="18" t="str">
        <f>Overall!A6</f>
        <v>Total Grant Funds</v>
      </c>
      <c r="B6" s="28">
        <f>SUM(B4:B5)</f>
        <v>917378</v>
      </c>
      <c r="C6" s="28">
        <f t="shared" ref="C6:L6" si="1">SUM(C4:C5)</f>
        <v>53672.93</v>
      </c>
      <c r="D6" s="28">
        <f t="shared" si="1"/>
        <v>867422.79999999993</v>
      </c>
      <c r="E6" s="28">
        <f t="shared" si="1"/>
        <v>1926301.05</v>
      </c>
      <c r="F6" s="28">
        <f t="shared" si="1"/>
        <v>68068.86</v>
      </c>
      <c r="G6" s="28">
        <f t="shared" si="1"/>
        <v>386393.17</v>
      </c>
      <c r="H6" s="28">
        <f t="shared" si="1"/>
        <v>9234.2999999999993</v>
      </c>
      <c r="I6" s="28">
        <f t="shared" si="1"/>
        <v>39870.94</v>
      </c>
      <c r="J6" s="28">
        <f t="shared" si="1"/>
        <v>146830.29999999999</v>
      </c>
      <c r="K6" s="28">
        <f t="shared" si="1"/>
        <v>204793.5</v>
      </c>
      <c r="L6" s="28">
        <f t="shared" si="1"/>
        <v>36000</v>
      </c>
      <c r="M6" s="28"/>
      <c r="N6" s="28">
        <f t="shared" ref="N6:W6" si="2">SUM(N4:N5)</f>
        <v>1000</v>
      </c>
      <c r="O6" s="28">
        <f t="shared" si="2"/>
        <v>46532.160000000003</v>
      </c>
      <c r="P6" s="28">
        <f t="shared" si="2"/>
        <v>779789.54999999993</v>
      </c>
      <c r="Q6" s="28">
        <f t="shared" si="2"/>
        <v>45000</v>
      </c>
      <c r="R6" s="28">
        <f t="shared" si="2"/>
        <v>9347</v>
      </c>
      <c r="S6" s="28">
        <f t="shared" si="2"/>
        <v>15908.71</v>
      </c>
      <c r="T6" s="28">
        <f t="shared" si="2"/>
        <v>8404</v>
      </c>
      <c r="U6" s="28">
        <f t="shared" si="2"/>
        <v>20879.650000000001</v>
      </c>
      <c r="V6" s="28">
        <f t="shared" si="2"/>
        <v>3858</v>
      </c>
      <c r="W6" s="27">
        <f t="shared" si="2"/>
        <v>4617.38</v>
      </c>
      <c r="X6" s="4">
        <f>SUM(B6:W6)</f>
        <v>5591302.3000000007</v>
      </c>
    </row>
    <row r="7" spans="1:24" s="10" customFormat="1" x14ac:dyDescent="0.25">
      <c r="A7" s="18" t="str">
        <f>Overall!A7</f>
        <v>Administrative Costs</v>
      </c>
      <c r="B7" s="28">
        <f>54752.04-8547.17</f>
        <v>46204.87</v>
      </c>
      <c r="C7" s="28">
        <v>0</v>
      </c>
      <c r="D7" s="44">
        <f>47458.45-9686.01</f>
        <v>37772.439999999995</v>
      </c>
      <c r="E7" s="28">
        <f>34841.69-6347.7</f>
        <v>28493.99</v>
      </c>
      <c r="F7" s="28">
        <f>6462.91+654.27+701.37</f>
        <v>7818.55</v>
      </c>
      <c r="G7" s="28">
        <f>15490.01-3204.05</f>
        <v>12285.96</v>
      </c>
      <c r="H7" s="28">
        <v>0</v>
      </c>
      <c r="I7" s="28">
        <v>0</v>
      </c>
      <c r="J7" s="28">
        <v>0</v>
      </c>
      <c r="K7" s="28">
        <f>8832.33-1788.63</f>
        <v>7043.7</v>
      </c>
      <c r="L7" s="28">
        <v>0</v>
      </c>
      <c r="M7" s="28"/>
      <c r="N7" s="28"/>
      <c r="O7" s="28">
        <v>0</v>
      </c>
      <c r="P7" s="28">
        <f>71235.97-14937.34</f>
        <v>56298.630000000005</v>
      </c>
      <c r="Q7" s="28">
        <f>2128.57-249.86</f>
        <v>1878.71</v>
      </c>
      <c r="R7" s="28"/>
      <c r="S7" s="28">
        <v>0</v>
      </c>
      <c r="T7" s="28">
        <v>0</v>
      </c>
      <c r="U7" s="28">
        <v>0</v>
      </c>
      <c r="V7" s="28">
        <v>0</v>
      </c>
      <c r="W7" s="27">
        <v>0</v>
      </c>
      <c r="X7" s="4">
        <f>SUM(B7:W7)</f>
        <v>197796.85</v>
      </c>
    </row>
    <row r="8" spans="1:24" s="17" customFormat="1" x14ac:dyDescent="0.25">
      <c r="A8" s="20" t="str">
        <f>Overall!A8</f>
        <v>% of Admin Cost</v>
      </c>
      <c r="B8" s="30">
        <f>B7/B6</f>
        <v>5.0366228533930399E-2</v>
      </c>
      <c r="C8" s="30">
        <f t="shared" ref="C8:L8" si="3">C7/C6</f>
        <v>0</v>
      </c>
      <c r="D8" s="30">
        <f t="shared" si="3"/>
        <v>4.3545592760531542E-2</v>
      </c>
      <c r="E8" s="30">
        <f t="shared" si="3"/>
        <v>1.4792075205482549E-2</v>
      </c>
      <c r="F8" s="30">
        <f t="shared" si="3"/>
        <v>0.11486236143810841</v>
      </c>
      <c r="G8" s="30">
        <f t="shared" si="3"/>
        <v>3.17965247677644E-2</v>
      </c>
      <c r="H8" s="30">
        <f t="shared" si="3"/>
        <v>0</v>
      </c>
      <c r="I8" s="30">
        <f t="shared" si="3"/>
        <v>0</v>
      </c>
      <c r="J8" s="30">
        <f t="shared" si="3"/>
        <v>0</v>
      </c>
      <c r="K8" s="30">
        <f t="shared" si="3"/>
        <v>3.4394158017710522E-2</v>
      </c>
      <c r="L8" s="30">
        <f t="shared" si="3"/>
        <v>0</v>
      </c>
      <c r="M8" s="30"/>
      <c r="N8" s="30">
        <f t="shared" ref="N8:W8" si="4">N7/N6</f>
        <v>0</v>
      </c>
      <c r="O8" s="30">
        <f t="shared" si="4"/>
        <v>0</v>
      </c>
      <c r="P8" s="30">
        <f t="shared" si="4"/>
        <v>7.2197210131887526E-2</v>
      </c>
      <c r="Q8" s="30">
        <f t="shared" si="4"/>
        <v>4.1749111111111112E-2</v>
      </c>
      <c r="R8" s="30">
        <f t="shared" si="4"/>
        <v>0</v>
      </c>
      <c r="S8" s="30">
        <f t="shared" si="4"/>
        <v>0</v>
      </c>
      <c r="T8" s="30">
        <f t="shared" si="4"/>
        <v>0</v>
      </c>
      <c r="U8" s="30">
        <f t="shared" si="4"/>
        <v>0</v>
      </c>
      <c r="V8" s="30">
        <f t="shared" si="4"/>
        <v>0</v>
      </c>
      <c r="W8" s="36">
        <f t="shared" si="4"/>
        <v>0</v>
      </c>
      <c r="X8" s="45">
        <f>SUM(B8:W8)</f>
        <v>0.40370326196652645</v>
      </c>
    </row>
    <row r="9" spans="1:24" s="10" customFormat="1" x14ac:dyDescent="0.25">
      <c r="A9" s="18" t="str">
        <f>Overall!A9</f>
        <v>Direct Expenditures</v>
      </c>
      <c r="B9" s="28">
        <f>671030.04-14627.33</f>
        <v>656402.71000000008</v>
      </c>
      <c r="C9" s="28">
        <f>31915.91-C11</f>
        <v>26055.1</v>
      </c>
      <c r="D9" s="28">
        <f>486028.64</f>
        <v>486028.64</v>
      </c>
      <c r="E9" s="28">
        <v>1677169.22</v>
      </c>
      <c r="F9" s="28">
        <v>13153.7</v>
      </c>
      <c r="G9" s="28">
        <f>276935.61+1784.1-22909.71</f>
        <v>255809.99999999997</v>
      </c>
      <c r="H9" s="28">
        <f>8283.7-H11</f>
        <v>6487.7400000000007</v>
      </c>
      <c r="I9" s="28">
        <f>15114.03-I11</f>
        <v>12202.28</v>
      </c>
      <c r="J9" s="28">
        <v>118800</v>
      </c>
      <c r="K9" s="28">
        <f>144416.9-1453.93</f>
        <v>142962.97</v>
      </c>
      <c r="L9" s="28">
        <v>69000</v>
      </c>
      <c r="M9" s="28"/>
      <c r="N9" s="28">
        <v>0</v>
      </c>
      <c r="O9" s="28">
        <f>46532.16-O11</f>
        <v>37037.130000000005</v>
      </c>
      <c r="P9" s="28">
        <f>626404.49-106977.75</f>
        <v>519426.74</v>
      </c>
      <c r="Q9" s="28">
        <f>41842.06-7792.88</f>
        <v>34049.18</v>
      </c>
      <c r="R9" s="28">
        <f>9322.49-R11</f>
        <v>7385.49</v>
      </c>
      <c r="S9" s="28">
        <f>15908.71-S11</f>
        <v>11965.05</v>
      </c>
      <c r="T9" s="28">
        <f>7509.44-1519.94</f>
        <v>5989.5</v>
      </c>
      <c r="U9" s="28">
        <f>20879.65-5371.17</f>
        <v>15508.480000000001</v>
      </c>
      <c r="V9" s="28">
        <f>2683.39-448.68</f>
        <v>2234.71</v>
      </c>
      <c r="W9" s="28">
        <f>4617.38-1331.63</f>
        <v>3285.75</v>
      </c>
      <c r="X9" s="4">
        <f t="shared" si="0"/>
        <v>4100954.3900000006</v>
      </c>
    </row>
    <row r="10" spans="1:24" s="17" customFormat="1" x14ac:dyDescent="0.25">
      <c r="A10" s="20" t="str">
        <f>Overall!A10</f>
        <v>% of Direct Expenditures</v>
      </c>
      <c r="B10" s="30">
        <f>B9/B6</f>
        <v>0.71552043977509827</v>
      </c>
      <c r="C10" s="34">
        <f t="shared" ref="C10:L10" si="5">C9/C6</f>
        <v>0.48544210275086525</v>
      </c>
      <c r="D10" s="30">
        <f t="shared" si="5"/>
        <v>0.56031342501027182</v>
      </c>
      <c r="E10" s="30">
        <f t="shared" si="5"/>
        <v>0.8706682789795499</v>
      </c>
      <c r="F10" s="30">
        <f t="shared" si="5"/>
        <v>0.19324107969488546</v>
      </c>
      <c r="G10" s="30">
        <f t="shared" si="5"/>
        <v>0.66204586380240615</v>
      </c>
      <c r="H10" s="30">
        <f t="shared" si="5"/>
        <v>0.70256976706409813</v>
      </c>
      <c r="I10" s="30">
        <f t="shared" si="5"/>
        <v>0.30604445242575168</v>
      </c>
      <c r="J10" s="30">
        <f t="shared" si="5"/>
        <v>0.80909730484784137</v>
      </c>
      <c r="K10" s="30">
        <f t="shared" si="5"/>
        <v>0.69808353292462899</v>
      </c>
      <c r="L10" s="30">
        <f t="shared" si="5"/>
        <v>1.9166666666666667</v>
      </c>
      <c r="M10" s="30"/>
      <c r="N10" s="30">
        <f t="shared" ref="N10:W10" si="6">N9/N6</f>
        <v>0</v>
      </c>
      <c r="O10" s="30">
        <f t="shared" si="6"/>
        <v>0.79594693218625578</v>
      </c>
      <c r="P10" s="30">
        <f t="shared" si="6"/>
        <v>0.66611143993914779</v>
      </c>
      <c r="Q10" s="30">
        <f t="shared" si="6"/>
        <v>0.75664844444444446</v>
      </c>
      <c r="R10" s="30">
        <f t="shared" si="6"/>
        <v>0.79014550123034122</v>
      </c>
      <c r="S10" s="30">
        <f t="shared" si="6"/>
        <v>0.75210686473007549</v>
      </c>
      <c r="T10" s="30">
        <f t="shared" si="6"/>
        <v>0.71269633507853403</v>
      </c>
      <c r="U10" s="30">
        <f t="shared" si="6"/>
        <v>0.74275574542676726</v>
      </c>
      <c r="V10" s="30">
        <f t="shared" si="6"/>
        <v>0.57924053913945051</v>
      </c>
      <c r="W10" s="36">
        <f t="shared" si="6"/>
        <v>0.71160484950339797</v>
      </c>
      <c r="X10" s="4">
        <f t="shared" si="0"/>
        <v>14.426949565620477</v>
      </c>
    </row>
    <row r="11" spans="1:24" s="10" customFormat="1" x14ac:dyDescent="0.25">
      <c r="A11" s="18" t="str">
        <f>Overall!A11</f>
        <v>Indirect Expenditures</v>
      </c>
      <c r="B11" s="28">
        <f>8547.17+14627.33</f>
        <v>23174.5</v>
      </c>
      <c r="C11" s="28">
        <v>5860.81</v>
      </c>
      <c r="D11" s="28">
        <f>9686.01</f>
        <v>9686.01</v>
      </c>
      <c r="E11" s="28">
        <f>6347.7</f>
        <v>6347.7</v>
      </c>
      <c r="F11" s="28">
        <v>2228.27</v>
      </c>
      <c r="G11" s="28">
        <f>22909.71+3204.05</f>
        <v>26113.759999999998</v>
      </c>
      <c r="H11" s="28">
        <v>1795.96</v>
      </c>
      <c r="I11" s="28">
        <v>2911.75</v>
      </c>
      <c r="J11" s="28">
        <v>0</v>
      </c>
      <c r="K11" s="28">
        <f>1788.63+1453.93</f>
        <v>3242.5600000000004</v>
      </c>
      <c r="L11" s="28">
        <v>0</v>
      </c>
      <c r="M11" s="28"/>
      <c r="N11" s="28">
        <v>0</v>
      </c>
      <c r="O11" s="28">
        <v>9495.0300000000007</v>
      </c>
      <c r="P11" s="28">
        <f>106977.75+14937.34</f>
        <v>121915.09</v>
      </c>
      <c r="Q11" s="28">
        <f>249.86+7792.88</f>
        <v>8042.74</v>
      </c>
      <c r="R11" s="28">
        <v>1937</v>
      </c>
      <c r="S11" s="28">
        <v>3943.66</v>
      </c>
      <c r="T11" s="28">
        <v>1519.94</v>
      </c>
      <c r="U11" s="28">
        <v>5371.17</v>
      </c>
      <c r="V11" s="28">
        <v>448.68</v>
      </c>
      <c r="W11" s="28">
        <v>1331.63</v>
      </c>
      <c r="X11" s="4">
        <f t="shared" si="0"/>
        <v>235366.26</v>
      </c>
    </row>
    <row r="12" spans="1:24" s="17" customFormat="1" x14ac:dyDescent="0.25">
      <c r="A12" s="20" t="str">
        <f>Overall!A12</f>
        <v>% of Indirect Expenditures</v>
      </c>
      <c r="B12" s="30">
        <f>B11/B6</f>
        <v>2.5261669671607558E-2</v>
      </c>
      <c r="C12" s="30">
        <f t="shared" ref="C12:L12" si="7">C11/C6</f>
        <v>0.10919489582551205</v>
      </c>
      <c r="D12" s="30">
        <f t="shared" si="7"/>
        <v>1.1166423109929784E-2</v>
      </c>
      <c r="E12" s="30">
        <f t="shared" si="7"/>
        <v>3.2952793126494948E-3</v>
      </c>
      <c r="F12" s="30">
        <f t="shared" si="7"/>
        <v>3.2735526935517942E-2</v>
      </c>
      <c r="G12" s="30">
        <f t="shared" si="7"/>
        <v>6.7583389219845677E-2</v>
      </c>
      <c r="H12" s="30">
        <f t="shared" si="7"/>
        <v>0.19448794169563477</v>
      </c>
      <c r="I12" s="30">
        <f t="shared" si="7"/>
        <v>7.3029379292286561E-2</v>
      </c>
      <c r="J12" s="30">
        <f t="shared" si="7"/>
        <v>0</v>
      </c>
      <c r="K12" s="30">
        <f t="shared" si="7"/>
        <v>1.5833315022205297E-2</v>
      </c>
      <c r="L12" s="30">
        <f t="shared" si="7"/>
        <v>0</v>
      </c>
      <c r="M12" s="30"/>
      <c r="N12" s="30">
        <f t="shared" ref="N12:W12" si="8">N11/N6</f>
        <v>0</v>
      </c>
      <c r="O12" s="30">
        <f t="shared" si="8"/>
        <v>0.2040530678137443</v>
      </c>
      <c r="P12" s="30">
        <f t="shared" si="8"/>
        <v>0.15634358013646119</v>
      </c>
      <c r="Q12" s="30">
        <f t="shared" si="8"/>
        <v>0.17872755555555556</v>
      </c>
      <c r="R12" s="30">
        <f t="shared" si="8"/>
        <v>0.20723226703755215</v>
      </c>
      <c r="S12" s="30">
        <f t="shared" si="8"/>
        <v>0.24789313526992446</v>
      </c>
      <c r="T12" s="30">
        <f t="shared" si="8"/>
        <v>0.18085911470728225</v>
      </c>
      <c r="U12" s="30">
        <f t="shared" si="8"/>
        <v>0.2572442545732328</v>
      </c>
      <c r="V12" s="30">
        <f t="shared" si="8"/>
        <v>0.11629860031104199</v>
      </c>
      <c r="W12" s="36">
        <f t="shared" si="8"/>
        <v>0.28839515049660197</v>
      </c>
      <c r="X12" s="4">
        <f t="shared" si="0"/>
        <v>2.3696345459865857</v>
      </c>
    </row>
    <row r="13" spans="1:24" s="10" customFormat="1" x14ac:dyDescent="0.25">
      <c r="A13" s="18" t="str">
        <f>Overall!A13</f>
        <v>Unexpended Funds</v>
      </c>
      <c r="B13" s="28">
        <f>B6-B7-B9-B11</f>
        <v>191595.91999999993</v>
      </c>
      <c r="C13" s="28">
        <f>C6-C7-C9-C11</f>
        <v>21757.02</v>
      </c>
      <c r="D13" s="28">
        <f>D6-D7-D9-D11</f>
        <v>333935.70999999996</v>
      </c>
      <c r="E13" s="28">
        <f>E6-E7-E9-E11</f>
        <v>214290.14000000007</v>
      </c>
      <c r="F13" s="28">
        <f t="shared" ref="F13:I13" si="9">F6-F7-F9-F11</f>
        <v>44868.340000000004</v>
      </c>
      <c r="G13" s="28">
        <f t="shared" si="9"/>
        <v>92183.45</v>
      </c>
      <c r="H13" s="28">
        <f t="shared" si="9"/>
        <v>950.59999999999854</v>
      </c>
      <c r="I13" s="28">
        <f t="shared" si="9"/>
        <v>24756.910000000003</v>
      </c>
      <c r="J13" s="28">
        <f>J6-J7-J9-J11</f>
        <v>28030.299999999988</v>
      </c>
      <c r="K13" s="28">
        <f t="shared" ref="K13:W13" si="10">K6-K7-K9-K11</f>
        <v>51544.26999999999</v>
      </c>
      <c r="L13" s="28">
        <f t="shared" si="10"/>
        <v>-33000</v>
      </c>
      <c r="M13" s="28">
        <f t="shared" si="10"/>
        <v>0</v>
      </c>
      <c r="N13" s="28">
        <f t="shared" si="10"/>
        <v>1000</v>
      </c>
      <c r="O13" s="28">
        <f>O6-O7-O9-O11</f>
        <v>0</v>
      </c>
      <c r="P13" s="28">
        <f t="shared" si="10"/>
        <v>82149.089999999938</v>
      </c>
      <c r="Q13" s="28">
        <f t="shared" si="10"/>
        <v>1029.3700000000008</v>
      </c>
      <c r="R13" s="28">
        <f t="shared" si="10"/>
        <v>24.510000000000218</v>
      </c>
      <c r="S13" s="28">
        <f t="shared" si="10"/>
        <v>0</v>
      </c>
      <c r="T13" s="28">
        <f t="shared" si="10"/>
        <v>894.56</v>
      </c>
      <c r="U13" s="28">
        <f t="shared" si="10"/>
        <v>0</v>
      </c>
      <c r="V13" s="28">
        <f t="shared" si="10"/>
        <v>1174.6099999999999</v>
      </c>
      <c r="W13" s="28">
        <f t="shared" si="10"/>
        <v>0</v>
      </c>
      <c r="X13" s="4">
        <f t="shared" si="0"/>
        <v>1057184.8</v>
      </c>
    </row>
    <row r="14" spans="1:24" ht="105" x14ac:dyDescent="0.25">
      <c r="A14" s="19" t="str">
        <f>Overall!A14</f>
        <v>Explanation of Unexpended Funds</v>
      </c>
      <c r="B14" s="31" t="s">
        <v>125</v>
      </c>
      <c r="C14" s="31" t="s">
        <v>125</v>
      </c>
      <c r="D14" s="31" t="s">
        <v>128</v>
      </c>
      <c r="E14" s="31" t="s">
        <v>129</v>
      </c>
      <c r="F14" s="31" t="s">
        <v>125</v>
      </c>
      <c r="G14" s="31" t="s">
        <v>125</v>
      </c>
      <c r="H14" s="31" t="s">
        <v>131</v>
      </c>
      <c r="I14" s="31" t="s">
        <v>125</v>
      </c>
      <c r="J14" s="31" t="s">
        <v>133</v>
      </c>
      <c r="K14" s="31" t="s">
        <v>125</v>
      </c>
      <c r="L14" s="31" t="s">
        <v>125</v>
      </c>
      <c r="M14" s="31"/>
      <c r="N14" s="31" t="s">
        <v>134</v>
      </c>
      <c r="O14" s="31" t="s">
        <v>125</v>
      </c>
      <c r="P14" s="31" t="s">
        <v>125</v>
      </c>
      <c r="Q14" s="31" t="s">
        <v>125</v>
      </c>
      <c r="R14" s="28" t="s">
        <v>125</v>
      </c>
      <c r="S14" s="28" t="s">
        <v>136</v>
      </c>
      <c r="T14" s="28" t="s">
        <v>125</v>
      </c>
      <c r="U14" s="28" t="s">
        <v>136</v>
      </c>
      <c r="V14" s="28" t="s">
        <v>125</v>
      </c>
      <c r="W14" s="27" t="s">
        <v>136</v>
      </c>
      <c r="X14" s="5"/>
    </row>
    <row r="15" spans="1:24" x14ac:dyDescent="0.25">
      <c r="B15" s="32"/>
      <c r="C15" s="32"/>
      <c r="D15" s="32"/>
      <c r="E15" s="32"/>
      <c r="F15" s="32"/>
      <c r="G15" s="32"/>
      <c r="H15" s="32"/>
      <c r="I15" s="32"/>
      <c r="J15" s="32"/>
      <c r="K15" s="32"/>
      <c r="L15" s="32"/>
      <c r="M15" s="32"/>
      <c r="N15" s="32"/>
      <c r="O15" s="32"/>
      <c r="P15" s="32"/>
      <c r="Q15" s="32"/>
      <c r="R15" s="31"/>
      <c r="S15" s="31"/>
      <c r="T15" s="31"/>
      <c r="U15" s="31"/>
      <c r="V15" s="31"/>
      <c r="W15" s="31"/>
    </row>
    <row r="16" spans="1:24" s="1" customFormat="1" ht="90" x14ac:dyDescent="0.25">
      <c r="A16" s="5" t="str">
        <f>Overall!A16</f>
        <v>List of Direct Services provided by ADD</v>
      </c>
      <c r="B16" s="31"/>
      <c r="C16" s="31" t="s">
        <v>60</v>
      </c>
      <c r="D16" s="33"/>
      <c r="E16" s="33"/>
      <c r="F16" s="33"/>
      <c r="G16" s="31" t="s">
        <v>59</v>
      </c>
      <c r="H16" s="31" t="s">
        <v>60</v>
      </c>
      <c r="I16" s="31" t="s">
        <v>60</v>
      </c>
      <c r="J16" s="31" t="s">
        <v>62</v>
      </c>
      <c r="K16" s="33"/>
      <c r="L16" s="31" t="s">
        <v>55</v>
      </c>
      <c r="M16" s="31"/>
      <c r="N16" s="31" t="s">
        <v>56</v>
      </c>
      <c r="O16" s="31" t="s">
        <v>60</v>
      </c>
      <c r="P16" s="31" t="s">
        <v>57</v>
      </c>
      <c r="Q16" s="31" t="s">
        <v>58</v>
      </c>
      <c r="R16" s="32" t="s">
        <v>63</v>
      </c>
      <c r="S16" s="32" t="s">
        <v>63</v>
      </c>
      <c r="T16" s="32" t="s">
        <v>63</v>
      </c>
      <c r="U16" s="32" t="s">
        <v>63</v>
      </c>
      <c r="V16" s="32" t="s">
        <v>64</v>
      </c>
      <c r="W16" t="s">
        <v>64</v>
      </c>
      <c r="X16" s="7"/>
    </row>
    <row r="17" spans="1:24" x14ac:dyDescent="0.25">
      <c r="B17" s="32"/>
      <c r="C17" s="32"/>
      <c r="D17" s="32"/>
      <c r="E17" s="32"/>
      <c r="F17" s="32"/>
      <c r="G17" s="32"/>
      <c r="H17" s="32"/>
      <c r="I17" s="32"/>
      <c r="J17" s="32"/>
      <c r="K17" s="32"/>
      <c r="L17" s="32"/>
      <c r="M17" s="32"/>
      <c r="N17" s="32"/>
      <c r="O17" s="32"/>
      <c r="P17" s="32"/>
      <c r="Q17" s="32"/>
      <c r="R17" s="31"/>
      <c r="S17" s="31"/>
      <c r="T17" s="31"/>
      <c r="U17" s="31"/>
      <c r="V17" s="31"/>
      <c r="W17" s="5"/>
    </row>
    <row r="18" spans="1:24" ht="135" x14ac:dyDescent="0.25">
      <c r="A18" s="88" t="str">
        <f>Overall!A18</f>
        <v>Direct Service Providers/Subcontractors Contracted by ADD and services provided</v>
      </c>
      <c r="B18" s="31" t="s">
        <v>126</v>
      </c>
      <c r="C18" s="31"/>
      <c r="D18" s="31" t="s">
        <v>49</v>
      </c>
      <c r="E18" s="31" t="s">
        <v>50</v>
      </c>
      <c r="F18" s="31" t="s">
        <v>130</v>
      </c>
      <c r="G18" s="31" t="s">
        <v>132</v>
      </c>
      <c r="H18" s="31"/>
      <c r="I18" s="31"/>
      <c r="J18" s="31"/>
      <c r="K18" s="31" t="s">
        <v>51</v>
      </c>
      <c r="L18" s="31"/>
      <c r="M18" s="31"/>
      <c r="N18" s="31"/>
      <c r="O18" s="31"/>
      <c r="P18" s="31" t="s">
        <v>50</v>
      </c>
      <c r="Q18" s="31"/>
      <c r="R18" s="32"/>
      <c r="S18" s="32"/>
      <c r="T18" s="32"/>
      <c r="U18" s="32"/>
      <c r="V18" s="32"/>
      <c r="X18" s="7"/>
    </row>
    <row r="19" spans="1:24" s="1" customFormat="1" ht="60" x14ac:dyDescent="0.25">
      <c r="A19" s="88"/>
      <c r="B19" s="31" t="s">
        <v>127</v>
      </c>
      <c r="C19" s="31"/>
      <c r="D19" s="31"/>
      <c r="E19" s="31"/>
      <c r="F19" s="31"/>
      <c r="G19" s="31"/>
      <c r="H19" s="31"/>
      <c r="I19" s="31"/>
      <c r="J19" s="31"/>
      <c r="K19" s="31"/>
      <c r="L19" s="31"/>
      <c r="M19" s="31"/>
      <c r="N19" s="31"/>
      <c r="O19" s="31"/>
      <c r="P19" s="31" t="s">
        <v>135</v>
      </c>
      <c r="Q19" s="31"/>
      <c r="R19" s="31"/>
      <c r="S19" s="31"/>
      <c r="T19" s="31"/>
      <c r="U19" s="31"/>
      <c r="V19" s="31"/>
      <c r="W19" s="5"/>
      <c r="X19" s="7"/>
    </row>
    <row r="20" spans="1:24" s="1" customFormat="1" ht="30.6" customHeight="1" x14ac:dyDescent="0.25">
      <c r="A20" s="88"/>
      <c r="B20" s="31" t="s">
        <v>48</v>
      </c>
      <c r="C20" s="31"/>
      <c r="D20" s="31"/>
      <c r="E20" s="31"/>
      <c r="F20" s="31"/>
      <c r="G20" s="31"/>
      <c r="H20" s="31"/>
      <c r="I20" s="31"/>
      <c r="J20" s="31"/>
      <c r="K20" s="31"/>
      <c r="L20" s="31"/>
      <c r="M20" s="31"/>
      <c r="N20" s="31"/>
      <c r="O20" s="31"/>
      <c r="P20" s="31" t="s">
        <v>52</v>
      </c>
      <c r="Q20" s="31"/>
      <c r="R20" s="31"/>
      <c r="S20" s="31"/>
      <c r="T20" s="31"/>
      <c r="U20" s="31"/>
      <c r="V20" s="31"/>
      <c r="W20" s="5"/>
      <c r="X20" s="7"/>
    </row>
    <row r="21" spans="1:24" s="1" customFormat="1" x14ac:dyDescent="0.25">
      <c r="A21" s="88"/>
      <c r="B21" s="31"/>
      <c r="C21" s="31"/>
      <c r="D21" s="31"/>
      <c r="E21" s="31"/>
      <c r="F21" s="31"/>
      <c r="G21" s="31"/>
      <c r="H21" s="31"/>
      <c r="I21" s="31"/>
      <c r="J21" s="31"/>
      <c r="K21" s="31"/>
      <c r="L21" s="31"/>
      <c r="M21" s="31"/>
      <c r="N21" s="31"/>
      <c r="O21" s="31"/>
      <c r="P21" s="31"/>
      <c r="Q21" s="31"/>
      <c r="R21" s="31"/>
      <c r="S21" s="31"/>
      <c r="T21" s="31"/>
      <c r="U21" s="31"/>
      <c r="V21" s="31"/>
      <c r="W21" s="5"/>
      <c r="X21" s="7"/>
    </row>
    <row r="22" spans="1:24" s="1" customFormat="1" x14ac:dyDescent="0.25">
      <c r="A22" s="88"/>
      <c r="B22" s="31"/>
      <c r="C22" s="31"/>
      <c r="D22" s="31"/>
      <c r="E22" s="31"/>
      <c r="F22" s="31"/>
      <c r="G22" s="31"/>
      <c r="H22" s="31"/>
      <c r="I22" s="31"/>
      <c r="J22" s="31"/>
      <c r="K22" s="31"/>
      <c r="L22" s="31"/>
      <c r="M22" s="31"/>
      <c r="N22" s="31"/>
      <c r="O22" s="31"/>
      <c r="P22" s="31"/>
      <c r="Q22" s="31"/>
      <c r="R22" s="31"/>
      <c r="S22" s="31"/>
      <c r="T22" s="31"/>
      <c r="U22" s="31"/>
      <c r="V22" s="31"/>
      <c r="W22" s="5"/>
      <c r="X22" s="7"/>
    </row>
    <row r="23" spans="1:24" x14ac:dyDescent="0.25">
      <c r="A23" s="9"/>
      <c r="B23" s="31"/>
      <c r="C23" s="31"/>
      <c r="D23" s="31"/>
      <c r="E23" s="31"/>
      <c r="F23" s="31"/>
      <c r="G23" s="31"/>
      <c r="H23" s="31"/>
      <c r="I23" s="31"/>
      <c r="J23" s="31"/>
      <c r="K23" s="31"/>
      <c r="L23" s="31"/>
      <c r="M23" s="31"/>
      <c r="N23" s="31"/>
      <c r="P23" s="31"/>
      <c r="Q23" s="31"/>
      <c r="R23" s="31"/>
      <c r="S23" s="31"/>
      <c r="T23" s="31"/>
      <c r="U23" s="31"/>
      <c r="V23" s="31"/>
      <c r="W23" s="5"/>
    </row>
    <row r="24" spans="1:24" x14ac:dyDescent="0.25">
      <c r="A24" s="5" t="str">
        <f>Overall!A32</f>
        <v>Eligible Persons</v>
      </c>
      <c r="B24" s="32"/>
      <c r="C24" s="32"/>
      <c r="D24" s="32"/>
      <c r="E24" s="32"/>
      <c r="F24" s="32"/>
      <c r="G24" s="32"/>
      <c r="H24" s="32"/>
      <c r="I24" s="32"/>
      <c r="J24" s="32"/>
      <c r="K24" s="32"/>
      <c r="L24" s="32"/>
      <c r="M24" s="32"/>
      <c r="N24" s="32"/>
      <c r="O24" s="7"/>
      <c r="P24" s="32"/>
      <c r="Q24" s="32"/>
      <c r="R24" s="32"/>
      <c r="S24" s="32"/>
      <c r="T24" s="32"/>
      <c r="U24" s="32"/>
      <c r="V24" s="32"/>
      <c r="X24" s="7"/>
    </row>
    <row r="25" spans="1:24" x14ac:dyDescent="0.25">
      <c r="A25" s="5" t="str">
        <f>Overall!A33</f>
        <v># Persons Served</v>
      </c>
      <c r="B25" s="33"/>
      <c r="C25" s="33"/>
      <c r="D25" s="33"/>
      <c r="E25" s="33"/>
      <c r="F25" s="33"/>
      <c r="G25" s="33"/>
      <c r="H25" s="33"/>
      <c r="I25" s="33"/>
      <c r="J25" s="35"/>
      <c r="K25" s="33"/>
      <c r="L25" s="33"/>
      <c r="M25" s="33"/>
      <c r="N25" s="33"/>
      <c r="P25" s="33"/>
      <c r="Q25" s="33"/>
      <c r="R25" s="33"/>
      <c r="S25" s="33"/>
      <c r="T25" s="33"/>
      <c r="U25" s="33"/>
      <c r="V25" s="33"/>
      <c r="W25" s="7"/>
    </row>
    <row r="26" spans="1:24" x14ac:dyDescent="0.25">
      <c r="A26" s="5" t="str">
        <f>Overall!A34</f>
        <v># People on Waiting List</v>
      </c>
      <c r="B26" s="33"/>
      <c r="C26" s="33"/>
      <c r="D26" s="33"/>
      <c r="E26" s="33"/>
      <c r="F26" s="33"/>
      <c r="G26" s="33"/>
      <c r="H26" s="33"/>
      <c r="I26" s="33"/>
      <c r="J26" s="35"/>
      <c r="K26" s="33"/>
      <c r="L26" s="33"/>
      <c r="M26" s="33"/>
      <c r="N26" s="33"/>
      <c r="O26" s="7"/>
      <c r="P26" s="33"/>
      <c r="Q26" s="33"/>
      <c r="R26" s="33"/>
      <c r="S26" s="33"/>
      <c r="T26" s="33"/>
      <c r="U26" s="33"/>
      <c r="V26" s="33"/>
      <c r="W26" s="7"/>
      <c r="X26" s="7"/>
    </row>
    <row r="27" spans="1:24" x14ac:dyDescent="0.25">
      <c r="B27" s="33"/>
      <c r="C27" s="33"/>
      <c r="D27" s="33"/>
      <c r="E27" s="35"/>
      <c r="F27" s="33"/>
      <c r="G27" s="33"/>
      <c r="H27" s="33"/>
      <c r="I27" s="33"/>
      <c r="J27" s="35"/>
      <c r="K27" s="33"/>
      <c r="L27" s="33"/>
      <c r="M27" s="33"/>
      <c r="N27" s="33"/>
      <c r="O27" s="7"/>
      <c r="P27" s="33"/>
      <c r="Q27" s="33"/>
      <c r="R27" s="33"/>
      <c r="S27" s="33"/>
      <c r="T27" s="33"/>
      <c r="U27" s="33"/>
      <c r="V27" s="33"/>
      <c r="W27" s="7"/>
      <c r="X27" s="7"/>
    </row>
    <row r="28" spans="1:24" s="1" customFormat="1" x14ac:dyDescent="0.25">
      <c r="A28" s="5" t="str">
        <f>Overall!A36</f>
        <v>Performance Measures</v>
      </c>
      <c r="B28" s="32"/>
      <c r="C28" s="32"/>
      <c r="D28" s="32"/>
      <c r="E28" s="32"/>
      <c r="F28" s="32"/>
      <c r="G28" s="32"/>
      <c r="H28" s="32"/>
      <c r="I28" s="32"/>
      <c r="J28" s="32"/>
      <c r="K28" s="32"/>
      <c r="L28" s="32"/>
      <c r="M28" s="32"/>
      <c r="N28" s="32"/>
      <c r="O28" s="7"/>
      <c r="P28" s="32"/>
      <c r="Q28" s="32"/>
      <c r="R28" s="32"/>
      <c r="S28" s="32"/>
      <c r="T28" s="32"/>
      <c r="U28" s="32"/>
      <c r="V28" s="32"/>
      <c r="W28"/>
      <c r="X28" s="7"/>
    </row>
    <row r="29" spans="1:24" x14ac:dyDescent="0.25">
      <c r="B29" s="31"/>
      <c r="C29" s="31"/>
      <c r="D29" s="31"/>
      <c r="E29" s="31"/>
      <c r="F29" s="31"/>
      <c r="G29" s="31"/>
      <c r="H29" s="31"/>
      <c r="I29" s="31"/>
      <c r="J29" s="31"/>
      <c r="K29" s="31"/>
      <c r="L29" s="31"/>
      <c r="M29" s="31"/>
      <c r="N29" s="31"/>
      <c r="O29" s="7"/>
      <c r="P29" s="31"/>
      <c r="Q29" s="31"/>
      <c r="R29" s="31"/>
      <c r="S29" s="31"/>
      <c r="T29" s="31"/>
      <c r="U29" s="31"/>
      <c r="V29" s="31"/>
      <c r="W29" s="5"/>
      <c r="X29" s="7"/>
    </row>
    <row r="30" spans="1:24" x14ac:dyDescent="0.25">
      <c r="B30" s="7"/>
      <c r="C30" s="7"/>
      <c r="D30" s="7"/>
      <c r="E30" s="7"/>
      <c r="F30" s="7"/>
      <c r="G30" s="7"/>
      <c r="H30" s="7"/>
      <c r="I30" s="7"/>
      <c r="J30" s="7"/>
      <c r="K30" s="7"/>
      <c r="L30" s="7"/>
      <c r="M30" s="7"/>
      <c r="N30" s="7"/>
      <c r="O30" s="7"/>
      <c r="P30" s="7"/>
      <c r="Q30" s="7"/>
      <c r="R30" s="7"/>
      <c r="S30" s="7"/>
      <c r="T30" s="7"/>
      <c r="U30" s="7"/>
      <c r="V30" s="7"/>
      <c r="W30" s="7"/>
      <c r="X30" s="7"/>
    </row>
    <row r="32" spans="1:24" x14ac:dyDescent="0.25">
      <c r="B32" s="33">
        <f>2202+274</f>
        <v>2476</v>
      </c>
      <c r="C32" s="33">
        <v>336</v>
      </c>
      <c r="D32" s="33">
        <v>1791</v>
      </c>
      <c r="E32" s="33">
        <v>1563</v>
      </c>
      <c r="F32" s="33">
        <v>223</v>
      </c>
      <c r="G32" s="33">
        <v>73</v>
      </c>
      <c r="H32" s="33">
        <v>102</v>
      </c>
      <c r="I32" s="33">
        <v>210</v>
      </c>
      <c r="J32" s="35">
        <f>1400+1254+313</f>
        <v>2967</v>
      </c>
      <c r="K32" s="33">
        <v>21</v>
      </c>
      <c r="L32" s="33">
        <v>2683</v>
      </c>
      <c r="M32" s="33">
        <v>0</v>
      </c>
      <c r="N32" s="33">
        <v>0</v>
      </c>
      <c r="O32" s="33">
        <v>1223</v>
      </c>
      <c r="P32" s="33">
        <f>126+1389</f>
        <v>1515</v>
      </c>
      <c r="Q32" s="33">
        <v>476</v>
      </c>
      <c r="R32" s="33">
        <v>524</v>
      </c>
      <c r="S32" s="33">
        <v>1221</v>
      </c>
      <c r="T32" s="33">
        <v>505</v>
      </c>
      <c r="U32" s="33">
        <v>1339</v>
      </c>
      <c r="V32" s="33">
        <v>2112</v>
      </c>
      <c r="W32" s="7">
        <v>3225</v>
      </c>
      <c r="X32" s="89" t="s">
        <v>46</v>
      </c>
    </row>
    <row r="33" spans="2:24" x14ac:dyDescent="0.25">
      <c r="B33" s="33">
        <f>2202+274</f>
        <v>2476</v>
      </c>
      <c r="C33" s="33">
        <v>336</v>
      </c>
      <c r="D33" s="33">
        <v>1791</v>
      </c>
      <c r="E33" s="33">
        <v>1563</v>
      </c>
      <c r="F33" s="33">
        <v>223</v>
      </c>
      <c r="G33" s="33">
        <v>73</v>
      </c>
      <c r="H33" s="33">
        <v>102</v>
      </c>
      <c r="I33" s="33">
        <v>210</v>
      </c>
      <c r="J33" s="35">
        <f>1400+1254+313</f>
        <v>2967</v>
      </c>
      <c r="K33" s="33">
        <v>14</v>
      </c>
      <c r="L33" s="33">
        <v>2683</v>
      </c>
      <c r="M33" s="33">
        <v>0</v>
      </c>
      <c r="N33" s="33">
        <v>0</v>
      </c>
      <c r="O33" s="33">
        <v>1223</v>
      </c>
      <c r="P33" s="33">
        <f>126+1389</f>
        <v>1515</v>
      </c>
      <c r="Q33" s="33">
        <v>476</v>
      </c>
      <c r="R33" s="33">
        <v>524</v>
      </c>
      <c r="S33" s="33">
        <v>1221</v>
      </c>
      <c r="T33" s="33">
        <v>505</v>
      </c>
      <c r="U33" s="33">
        <v>1339</v>
      </c>
      <c r="V33" s="33">
        <v>2112</v>
      </c>
      <c r="W33" s="7">
        <v>3225</v>
      </c>
      <c r="X33" s="89"/>
    </row>
    <row r="34" spans="2:24" x14ac:dyDescent="0.25">
      <c r="B34" s="33">
        <v>0</v>
      </c>
      <c r="C34" s="33"/>
      <c r="D34" s="33">
        <v>0</v>
      </c>
      <c r="E34" s="35">
        <v>0</v>
      </c>
      <c r="F34" s="33">
        <v>0</v>
      </c>
      <c r="G34" s="33">
        <v>0</v>
      </c>
      <c r="H34" s="33"/>
      <c r="I34" s="33"/>
      <c r="J34" s="35"/>
      <c r="K34" s="33"/>
      <c r="L34" s="33"/>
      <c r="M34" s="33"/>
      <c r="N34" s="33"/>
      <c r="O34" s="33"/>
      <c r="P34" s="33">
        <v>202</v>
      </c>
      <c r="Q34" s="33"/>
      <c r="R34" s="33"/>
      <c r="S34" s="33"/>
      <c r="T34" s="33"/>
      <c r="U34" s="33"/>
      <c r="V34" s="33"/>
      <c r="W34" s="7"/>
      <c r="X34" s="89"/>
    </row>
    <row r="35" spans="2:24" x14ac:dyDescent="0.25">
      <c r="B35" s="32"/>
      <c r="C35" s="32"/>
      <c r="D35" s="32"/>
      <c r="E35" s="32"/>
      <c r="F35" s="32"/>
      <c r="G35" s="32"/>
      <c r="H35" s="32"/>
      <c r="I35" s="32"/>
      <c r="J35" s="32"/>
      <c r="K35" s="32"/>
      <c r="L35" s="32"/>
      <c r="M35" s="32"/>
      <c r="N35" s="32"/>
      <c r="O35" s="32"/>
      <c r="P35" s="32"/>
      <c r="Q35" s="32"/>
      <c r="R35" s="32"/>
      <c r="S35" s="32"/>
      <c r="T35" s="32"/>
      <c r="U35" s="32"/>
      <c r="V35" s="32"/>
    </row>
    <row r="36" spans="2:24" ht="60" x14ac:dyDescent="0.25">
      <c r="B36" s="31" t="s">
        <v>116</v>
      </c>
      <c r="C36" s="31" t="s">
        <v>116</v>
      </c>
      <c r="D36" s="31" t="s">
        <v>116</v>
      </c>
      <c r="E36" s="31" t="s">
        <v>116</v>
      </c>
      <c r="F36" s="31" t="s">
        <v>116</v>
      </c>
      <c r="G36" s="31" t="s">
        <v>116</v>
      </c>
      <c r="H36" s="31" t="s">
        <v>116</v>
      </c>
      <c r="I36" s="31" t="s">
        <v>116</v>
      </c>
      <c r="J36" s="31" t="s">
        <v>116</v>
      </c>
      <c r="K36" s="31" t="s">
        <v>116</v>
      </c>
      <c r="L36" s="31" t="s">
        <v>116</v>
      </c>
      <c r="M36" s="31"/>
      <c r="N36" s="31" t="s">
        <v>116</v>
      </c>
      <c r="O36" s="31" t="s">
        <v>116</v>
      </c>
      <c r="P36" s="31" t="s">
        <v>116</v>
      </c>
      <c r="Q36" s="31" t="s">
        <v>116</v>
      </c>
      <c r="R36" s="31" t="s">
        <v>116</v>
      </c>
      <c r="S36" s="31" t="s">
        <v>116</v>
      </c>
      <c r="T36" s="31" t="s">
        <v>116</v>
      </c>
      <c r="U36" s="31" t="s">
        <v>116</v>
      </c>
      <c r="V36" s="31" t="s">
        <v>116</v>
      </c>
      <c r="W36" s="5" t="s">
        <v>116</v>
      </c>
      <c r="X36" s="5" t="s">
        <v>116</v>
      </c>
    </row>
  </sheetData>
  <mergeCells count="2">
    <mergeCell ref="A18:A22"/>
    <mergeCell ref="X32:X34"/>
  </mergeCells>
  <pageMargins left="0.25" right="0.25" top="0.75" bottom="0.75" header="0.3" footer="0.3"/>
  <pageSetup scale="51" fitToWidth="0" orientation="landscape" r:id="rId1"/>
  <headerFooter>
    <oddHeader xml:space="preserve">&amp;CPurchase Area Development District
Department for Aging &amp; Independent Living Funds
FY 2020
</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36"/>
  <sheetViews>
    <sheetView view="pageLayout" topLeftCell="G1" zoomScaleNormal="100" workbookViewId="0">
      <selection activeCell="F9" sqref="F9"/>
    </sheetView>
  </sheetViews>
  <sheetFormatPr defaultColWidth="8.7109375" defaultRowHeight="15" x14ac:dyDescent="0.25"/>
  <cols>
    <col min="1" max="1" width="24" style="1" customWidth="1"/>
    <col min="2" max="8" width="26.28515625" customWidth="1"/>
  </cols>
  <sheetData>
    <row r="3" spans="1:10" s="11" customFormat="1" ht="30.75" customHeight="1" x14ac:dyDescent="0.25">
      <c r="A3" s="3"/>
      <c r="B3" s="3" t="s">
        <v>33</v>
      </c>
      <c r="C3" s="3" t="s">
        <v>35</v>
      </c>
      <c r="D3" s="3" t="s">
        <v>34</v>
      </c>
      <c r="E3" s="3" t="s">
        <v>36</v>
      </c>
      <c r="F3" s="3" t="s">
        <v>47</v>
      </c>
      <c r="G3" s="3" t="s">
        <v>119</v>
      </c>
      <c r="H3" s="46" t="s">
        <v>139</v>
      </c>
      <c r="I3" s="2"/>
      <c r="J3" s="2"/>
    </row>
    <row r="4" spans="1:10" s="10" customFormat="1" x14ac:dyDescent="0.25">
      <c r="A4" s="18" t="str">
        <f>Overall!A4</f>
        <v>Grant Award</v>
      </c>
      <c r="B4" s="25">
        <v>305071</v>
      </c>
      <c r="C4" s="25">
        <v>335172</v>
      </c>
      <c r="D4" s="25">
        <v>58786</v>
      </c>
      <c r="E4" s="25">
        <v>62181</v>
      </c>
      <c r="F4" s="25">
        <v>14397</v>
      </c>
      <c r="G4" s="25">
        <v>34167</v>
      </c>
      <c r="H4" s="47">
        <v>179510</v>
      </c>
      <c r="I4" s="51"/>
      <c r="J4" s="51"/>
    </row>
    <row r="5" spans="1:10" s="10" customFormat="1" ht="30" x14ac:dyDescent="0.25">
      <c r="A5" s="18" t="str">
        <f>Overall!A5</f>
        <v>Local Funds (Match or applied)</v>
      </c>
      <c r="B5" s="4"/>
      <c r="C5" s="4"/>
      <c r="D5" s="4"/>
      <c r="E5" s="4"/>
      <c r="F5" s="4"/>
      <c r="G5" s="4"/>
      <c r="H5" s="48"/>
      <c r="I5" s="21"/>
      <c r="J5" s="21"/>
    </row>
    <row r="6" spans="1:10" s="10" customFormat="1" x14ac:dyDescent="0.25">
      <c r="A6" s="18" t="str">
        <f>Overall!A6</f>
        <v>Total Grant Funds</v>
      </c>
      <c r="B6" s="4">
        <f>SUM(B4:B5)</f>
        <v>305071</v>
      </c>
      <c r="C6" s="4">
        <f t="shared" ref="C6:G6" si="0">SUM(C4:C5)</f>
        <v>335172</v>
      </c>
      <c r="D6" s="4">
        <f t="shared" si="0"/>
        <v>58786</v>
      </c>
      <c r="E6" s="4">
        <f t="shared" si="0"/>
        <v>62181</v>
      </c>
      <c r="F6" s="4">
        <f t="shared" si="0"/>
        <v>14397</v>
      </c>
      <c r="G6" s="4">
        <f t="shared" si="0"/>
        <v>34167</v>
      </c>
      <c r="H6" s="48">
        <f t="shared" ref="H6" si="1">SUM(H4:H5)</f>
        <v>179510</v>
      </c>
      <c r="I6" s="21"/>
      <c r="J6" s="21"/>
    </row>
    <row r="7" spans="1:10" s="10" customFormat="1" x14ac:dyDescent="0.25">
      <c r="A7" s="18" t="str">
        <f>Overall!A7</f>
        <v>Administrative Costs</v>
      </c>
      <c r="B7" s="6">
        <v>0</v>
      </c>
      <c r="C7" s="6">
        <v>0</v>
      </c>
      <c r="D7" s="6">
        <v>0</v>
      </c>
      <c r="E7" s="6">
        <v>0</v>
      </c>
      <c r="F7" s="6">
        <v>0</v>
      </c>
      <c r="G7" s="6">
        <v>0</v>
      </c>
      <c r="H7" s="49">
        <v>0</v>
      </c>
      <c r="I7" s="13"/>
      <c r="J7" s="13"/>
    </row>
    <row r="8" spans="1:10" s="17" customFormat="1" x14ac:dyDescent="0.25">
      <c r="A8" s="18" t="str">
        <f>Overall!A8</f>
        <v>% of Admin Cost</v>
      </c>
      <c r="B8" s="8">
        <f t="shared" ref="B8:G8" si="2">B7/B6</f>
        <v>0</v>
      </c>
      <c r="C8" s="8">
        <f t="shared" si="2"/>
        <v>0</v>
      </c>
      <c r="D8" s="8">
        <f t="shared" si="2"/>
        <v>0</v>
      </c>
      <c r="E8" s="8">
        <f t="shared" si="2"/>
        <v>0</v>
      </c>
      <c r="F8" s="8">
        <f t="shared" si="2"/>
        <v>0</v>
      </c>
      <c r="G8" s="8">
        <f t="shared" si="2"/>
        <v>0</v>
      </c>
      <c r="H8" s="50">
        <f t="shared" ref="H8" si="3">H7/H6</f>
        <v>0</v>
      </c>
      <c r="I8" s="22"/>
      <c r="J8" s="22"/>
    </row>
    <row r="9" spans="1:10" s="10" customFormat="1" x14ac:dyDescent="0.25">
      <c r="A9" s="18" t="str">
        <f>Overall!A9</f>
        <v>Direct Expenditures</v>
      </c>
      <c r="B9" s="6">
        <v>232134</v>
      </c>
      <c r="C9" s="6">
        <v>233566</v>
      </c>
      <c r="D9" s="6">
        <v>24398</v>
      </c>
      <c r="E9" s="6">
        <v>38438</v>
      </c>
      <c r="F9" s="6">
        <v>264</v>
      </c>
      <c r="G9" s="6">
        <f>23361.93-G11</f>
        <v>18292.900000000001</v>
      </c>
      <c r="H9" s="49">
        <v>128896</v>
      </c>
      <c r="I9" s="13"/>
      <c r="J9" s="13"/>
    </row>
    <row r="10" spans="1:10" s="17" customFormat="1" x14ac:dyDescent="0.25">
      <c r="A10" s="18" t="str">
        <f>Overall!A10</f>
        <v>% of Direct Expenditures</v>
      </c>
      <c r="B10" s="8">
        <f t="shared" ref="B10:G10" si="4">B9/B6</f>
        <v>0.7609179502476473</v>
      </c>
      <c r="C10" s="8">
        <f t="shared" si="4"/>
        <v>0.69685415249483851</v>
      </c>
      <c r="D10" s="8">
        <f t="shared" si="4"/>
        <v>0.41503078964379275</v>
      </c>
      <c r="E10" s="8">
        <f t="shared" si="4"/>
        <v>0.61816310448529288</v>
      </c>
      <c r="F10" s="8">
        <f t="shared" si="4"/>
        <v>1.8337153573661179E-2</v>
      </c>
      <c r="G10" s="8">
        <f t="shared" si="4"/>
        <v>0.53539672783680159</v>
      </c>
      <c r="H10" s="50">
        <f t="shared" ref="H10" si="5">H9/H6</f>
        <v>0.71804356303270012</v>
      </c>
      <c r="I10" s="22"/>
      <c r="J10" s="22"/>
    </row>
    <row r="11" spans="1:10" s="10" customFormat="1" x14ac:dyDescent="0.25">
      <c r="A11" s="18" t="str">
        <f>Overall!A11</f>
        <v>Indirect Expenditures</v>
      </c>
      <c r="B11" s="6">
        <v>54327</v>
      </c>
      <c r="C11" s="6">
        <v>61206</v>
      </c>
      <c r="D11" s="6">
        <v>6458</v>
      </c>
      <c r="E11" s="6">
        <v>10233</v>
      </c>
      <c r="F11" s="6">
        <v>43</v>
      </c>
      <c r="G11" s="6">
        <v>5069.03</v>
      </c>
      <c r="H11" s="49">
        <v>28014</v>
      </c>
      <c r="I11" s="13"/>
      <c r="J11" s="13"/>
    </row>
    <row r="12" spans="1:10" s="17" customFormat="1" ht="30" x14ac:dyDescent="0.25">
      <c r="A12" s="18" t="str">
        <f>Overall!A12</f>
        <v>% of Indirect Expenditures</v>
      </c>
      <c r="B12" s="8">
        <f t="shared" ref="B12:G12" si="6">B11/B6</f>
        <v>0.17807985682021563</v>
      </c>
      <c r="C12" s="8">
        <f t="shared" si="6"/>
        <v>0.18261071927249292</v>
      </c>
      <c r="D12" s="8">
        <f t="shared" si="6"/>
        <v>0.10985608818426155</v>
      </c>
      <c r="E12" s="8">
        <f t="shared" si="6"/>
        <v>0.16456795484151107</v>
      </c>
      <c r="F12" s="8">
        <f t="shared" si="6"/>
        <v>2.9867333472251164E-3</v>
      </c>
      <c r="G12" s="8">
        <f t="shared" si="6"/>
        <v>0.14836040623993912</v>
      </c>
      <c r="H12" s="50">
        <f t="shared" ref="H12" si="7">H11/H6</f>
        <v>0.15605815831987077</v>
      </c>
      <c r="I12" s="22"/>
      <c r="J12" s="22"/>
    </row>
    <row r="13" spans="1:10" s="10" customFormat="1" x14ac:dyDescent="0.25">
      <c r="A13" s="18" t="str">
        <f>Overall!A13</f>
        <v>Unexpended Funds</v>
      </c>
      <c r="B13" s="6">
        <f>B6-B7-B9-B11</f>
        <v>18610</v>
      </c>
      <c r="C13" s="6">
        <f>C6-C7-C9-C11</f>
        <v>40400</v>
      </c>
      <c r="D13" s="6">
        <f t="shared" ref="D13:F13" si="8">D6-D7-D9-D11</f>
        <v>27930</v>
      </c>
      <c r="E13" s="6">
        <f>E6-E7-E9-E11</f>
        <v>13510</v>
      </c>
      <c r="F13" s="6">
        <f t="shared" si="8"/>
        <v>14090</v>
      </c>
      <c r="G13" s="6">
        <f>G6-G7-G9-G11</f>
        <v>10805.07</v>
      </c>
      <c r="H13" s="49">
        <f t="shared" ref="H13" si="9">H6-H7-H9-H11</f>
        <v>22600</v>
      </c>
      <c r="I13" s="13"/>
      <c r="J13" s="13"/>
    </row>
    <row r="14" spans="1:10" ht="30" x14ac:dyDescent="0.25">
      <c r="A14" s="18" t="str">
        <f>Overall!A14</f>
        <v>Explanation of Unexpended Funds</v>
      </c>
      <c r="B14" s="3" t="str">
        <f>IF(ISBLANK(Overall!AL14),"", Overall!AL14)</f>
        <v>Multi-year Obligated Funds</v>
      </c>
      <c r="C14" s="3" t="str">
        <f>IF(ISBLANK(Overall!AM14),"", Overall!AM14)</f>
        <v>Multi-year Obligated Funds</v>
      </c>
      <c r="D14" s="3" t="str">
        <f>IF(ISBLANK(Overall!AN14),"", Overall!AN14)</f>
        <v>Multi-year Obligated Funds</v>
      </c>
      <c r="E14" s="3" t="str">
        <f>IF(ISBLANK(Overall!AO14),"", Overall!AO14)</f>
        <v>Multi-year Obligated Funds</v>
      </c>
      <c r="F14" s="3" t="str">
        <f>IF(ISBLANK(Overall!AP14),"", Overall!AP14)</f>
        <v>Multi-year Obligated Funds</v>
      </c>
      <c r="G14" s="3" t="str">
        <f>IF(ISBLANK(Overall!AQ14),"", Overall!AQ14)</f>
        <v>Multi-year Obligated Funds</v>
      </c>
      <c r="H14" s="3" t="str">
        <f>IF(ISBLANK(Overall!AR14),"", Overall!AR14)</f>
        <v/>
      </c>
    </row>
    <row r="15" spans="1:10" x14ac:dyDescent="0.25">
      <c r="B15" s="2"/>
      <c r="C15" s="2"/>
      <c r="D15" s="2"/>
      <c r="E15" s="2"/>
      <c r="F15" s="2"/>
      <c r="G15" s="2"/>
      <c r="H15" s="2"/>
    </row>
    <row r="16" spans="1:10" ht="43.15" customHeight="1" x14ac:dyDescent="0.25">
      <c r="A16" s="5" t="str">
        <f>Overall!A16</f>
        <v>List of Direct Services provided by ADD</v>
      </c>
      <c r="B16" s="90" t="str">
        <f>IF(ISBLANK(Overall!AL16),"", Overall!AL16)</f>
        <v>Services provided under a subcontract with Pennyrile ADD.</v>
      </c>
      <c r="C16" s="91"/>
      <c r="D16" s="91"/>
      <c r="E16" s="91"/>
      <c r="F16" s="91"/>
      <c r="G16" s="91"/>
      <c r="H16" s="92"/>
    </row>
    <row r="17" spans="1:8" x14ac:dyDescent="0.25">
      <c r="B17" s="2"/>
      <c r="C17" s="2"/>
      <c r="D17" s="2"/>
      <c r="E17" s="2"/>
      <c r="F17" s="2"/>
      <c r="G17" s="2"/>
      <c r="H17" s="2"/>
    </row>
    <row r="18" spans="1:8" x14ac:dyDescent="0.25">
      <c r="A18" s="88" t="str">
        <f>Overall!A18</f>
        <v>Direct Service Providers/Subcontractors Contracted by ADD and services provided</v>
      </c>
      <c r="B18" s="3" t="str">
        <f>IF(ISBLANK(Overall!AL18),"", Overall!AL18)</f>
        <v/>
      </c>
      <c r="C18" s="3" t="str">
        <f>IF(ISBLANK(Overall!AM18),"", Overall!AM18)</f>
        <v/>
      </c>
      <c r="D18" s="3" t="str">
        <f>IF(ISBLANK(Overall!AN18),"", Overall!AN18)</f>
        <v/>
      </c>
      <c r="E18" s="3" t="str">
        <f>IF(ISBLANK(Overall!AO18),"", Overall!AO18)</f>
        <v/>
      </c>
      <c r="F18" s="3" t="str">
        <f>IF(ISBLANK(Overall!AP18),"", Overall!AP18)</f>
        <v/>
      </c>
      <c r="G18" s="3" t="str">
        <f>IF(ISBLANK(Overall!AQ18),"", Overall!AQ18)</f>
        <v/>
      </c>
      <c r="H18" s="3" t="str">
        <f>IF(ISBLANK(Overall!AR18),"", Overall!AR18)</f>
        <v/>
      </c>
    </row>
    <row r="19" spans="1:8" x14ac:dyDescent="0.25">
      <c r="A19" s="88"/>
      <c r="B19" s="3" t="str">
        <f>IF(ISBLANK(Overall!AL19),"", Overall!AL19)</f>
        <v/>
      </c>
      <c r="C19" s="3" t="str">
        <f>IF(ISBLANK(Overall!AM19),"", Overall!AM19)</f>
        <v/>
      </c>
      <c r="D19" s="3" t="str">
        <f>IF(ISBLANK(Overall!AN19),"", Overall!AN19)</f>
        <v/>
      </c>
      <c r="E19" s="3" t="str">
        <f>IF(ISBLANK(Overall!AO19),"", Overall!AO19)</f>
        <v/>
      </c>
      <c r="F19" s="3" t="str">
        <f>IF(ISBLANK(Overall!AP19),"", Overall!AP19)</f>
        <v/>
      </c>
      <c r="G19" s="3" t="str">
        <f>IF(ISBLANK(Overall!AQ19),"", Overall!AQ19)</f>
        <v/>
      </c>
      <c r="H19" s="3" t="str">
        <f>IF(ISBLANK(Overall!AR19),"", Overall!AR19)</f>
        <v/>
      </c>
    </row>
    <row r="20" spans="1:8" x14ac:dyDescent="0.25">
      <c r="A20" s="88"/>
      <c r="B20" s="3" t="str">
        <f>IF(ISBLANK(Overall!AL20),"", Overall!AL20)</f>
        <v/>
      </c>
      <c r="C20" s="3" t="str">
        <f>IF(ISBLANK(Overall!AM20),"", Overall!AM20)</f>
        <v/>
      </c>
      <c r="D20" s="3" t="str">
        <f>IF(ISBLANK(Overall!AN20),"", Overall!AN20)</f>
        <v/>
      </c>
      <c r="E20" s="3" t="str">
        <f>IF(ISBLANK(Overall!AO20),"", Overall!AO20)</f>
        <v/>
      </c>
      <c r="F20" s="3" t="str">
        <f>IF(ISBLANK(Overall!AP20),"", Overall!AP20)</f>
        <v/>
      </c>
      <c r="G20" s="3" t="str">
        <f>IF(ISBLANK(Overall!AQ20),"", Overall!AQ20)</f>
        <v/>
      </c>
      <c r="H20" s="3" t="str">
        <f>IF(ISBLANK(Overall!AR20),"", Overall!AR20)</f>
        <v/>
      </c>
    </row>
    <row r="21" spans="1:8" x14ac:dyDescent="0.25">
      <c r="A21" s="88"/>
      <c r="B21" s="3" t="str">
        <f>IF(ISBLANK(Overall!AL21),"", Overall!AL21)</f>
        <v/>
      </c>
      <c r="C21" s="3" t="str">
        <f>IF(ISBLANK(Overall!AM21),"", Overall!AM21)</f>
        <v/>
      </c>
      <c r="D21" s="3" t="str">
        <f>IF(ISBLANK(Overall!AN21),"", Overall!AN21)</f>
        <v/>
      </c>
      <c r="E21" s="3" t="str">
        <f>IF(ISBLANK(Overall!AO21),"", Overall!AO21)</f>
        <v/>
      </c>
      <c r="F21" s="3" t="str">
        <f>IF(ISBLANK(Overall!AP21),"", Overall!AP21)</f>
        <v/>
      </c>
      <c r="G21" s="3" t="str">
        <f>IF(ISBLANK(Overall!AQ21),"", Overall!AQ21)</f>
        <v/>
      </c>
      <c r="H21" s="3" t="str">
        <f>IF(ISBLANK(Overall!AR21),"", Overall!AR21)</f>
        <v/>
      </c>
    </row>
    <row r="22" spans="1:8" x14ac:dyDescent="0.25">
      <c r="A22" s="88"/>
      <c r="B22" s="3" t="str">
        <f>IF(ISBLANK(Overall!AL22),"", Overall!AL22)</f>
        <v/>
      </c>
      <c r="C22" s="3" t="str">
        <f>IF(ISBLANK(Overall!AM22),"", Overall!AM22)</f>
        <v/>
      </c>
      <c r="D22" s="3" t="str">
        <f>IF(ISBLANK(Overall!AN22),"", Overall!AN22)</f>
        <v/>
      </c>
      <c r="E22" s="3" t="str">
        <f>IF(ISBLANK(Overall!AO22),"", Overall!AO22)</f>
        <v/>
      </c>
      <c r="F22" s="3" t="str">
        <f>IF(ISBLANK(Overall!AP22),"", Overall!AP22)</f>
        <v/>
      </c>
      <c r="G22" s="3" t="str">
        <f>IF(ISBLANK(Overall!AQ22),"", Overall!AQ22)</f>
        <v/>
      </c>
      <c r="H22" s="3" t="str">
        <f>IF(ISBLANK(Overall!AR22),"", Overall!AR22)</f>
        <v/>
      </c>
    </row>
    <row r="23" spans="1:8" x14ac:dyDescent="0.25">
      <c r="A23" s="9"/>
      <c r="B23" s="2"/>
      <c r="C23" s="2"/>
      <c r="D23" s="2"/>
      <c r="E23" s="2"/>
      <c r="F23" s="2"/>
      <c r="G23" s="2"/>
      <c r="H23" s="2"/>
    </row>
    <row r="24" spans="1:8" x14ac:dyDescent="0.25">
      <c r="A24" s="5" t="str">
        <f>Overall!A24</f>
        <v>Career Center Operators</v>
      </c>
      <c r="B24" s="3" t="str">
        <f>IF(ISBLANK(Overall!AL24),"", Overall!AL24)</f>
        <v/>
      </c>
      <c r="C24" s="3" t="str">
        <f>IF(ISBLANK(Overall!AM24),"", Overall!AM24)</f>
        <v/>
      </c>
      <c r="D24" s="3" t="str">
        <f>IF(ISBLANK(Overall!AN24),"", Overall!AN24)</f>
        <v/>
      </c>
      <c r="E24" s="3" t="str">
        <f>IF(ISBLANK(Overall!AO24),"", Overall!AO24)</f>
        <v/>
      </c>
      <c r="F24" s="3" t="str">
        <f>IF(ISBLANK(Overall!AP24),"", Overall!AP24)</f>
        <v/>
      </c>
      <c r="G24" s="3" t="str">
        <f>IF(ISBLANK(Overall!AQ24),"", Overall!AQ24)</f>
        <v/>
      </c>
      <c r="H24" s="3" t="str">
        <f>IF(ISBLANK(Overall!AR24),"", Overall!AR24)</f>
        <v/>
      </c>
    </row>
    <row r="25" spans="1:8" ht="12.75" customHeight="1" x14ac:dyDescent="0.25">
      <c r="A25" s="9"/>
      <c r="B25" s="2"/>
      <c r="C25" s="2"/>
      <c r="D25" s="2"/>
      <c r="E25" s="2"/>
      <c r="F25" s="2"/>
      <c r="G25" s="2"/>
      <c r="H25" s="2"/>
    </row>
    <row r="26" spans="1:8" ht="12.75" customHeight="1" x14ac:dyDescent="0.25">
      <c r="A26" s="88" t="str">
        <f>Overall!A26</f>
        <v>Training Service Providers and services provided</v>
      </c>
      <c r="B26" s="3" t="str">
        <f>IF(ISBLANK(Overall!AL26),"", Overall!AL26)</f>
        <v/>
      </c>
      <c r="C26" s="3" t="str">
        <f>IF(ISBLANK(Overall!AM26),"", Overall!AM26)</f>
        <v/>
      </c>
      <c r="D26" s="3" t="str">
        <f>IF(ISBLANK(Overall!AN26),"", Overall!AN26)</f>
        <v/>
      </c>
      <c r="E26" s="3" t="str">
        <f>IF(ISBLANK(Overall!AO26),"", Overall!AO26)</f>
        <v/>
      </c>
      <c r="F26" s="3" t="str">
        <f>IF(ISBLANK(Overall!AP26),"", Overall!AP26)</f>
        <v/>
      </c>
      <c r="G26" s="3" t="str">
        <f>IF(ISBLANK(Overall!AQ26),"", Overall!AQ26)</f>
        <v/>
      </c>
      <c r="H26" s="3" t="str">
        <f>IF(ISBLANK(Overall!AR26),"", Overall!AR26)</f>
        <v/>
      </c>
    </row>
    <row r="27" spans="1:8" ht="12.75" customHeight="1" x14ac:dyDescent="0.25">
      <c r="A27" s="88"/>
      <c r="B27" s="3" t="str">
        <f>IF(ISBLANK(Overall!AL27),"", Overall!AL27)</f>
        <v/>
      </c>
      <c r="C27" s="3" t="str">
        <f>IF(ISBLANK(Overall!AM27),"", Overall!AM27)</f>
        <v/>
      </c>
      <c r="D27" s="3" t="str">
        <f>IF(ISBLANK(Overall!AN27),"", Overall!AN27)</f>
        <v/>
      </c>
      <c r="E27" s="3" t="str">
        <f>IF(ISBLANK(Overall!AO27),"", Overall!AO27)</f>
        <v/>
      </c>
      <c r="F27" s="3" t="str">
        <f>IF(ISBLANK(Overall!AP27),"", Overall!AP27)</f>
        <v/>
      </c>
      <c r="G27" s="3" t="str">
        <f>IF(ISBLANK(Overall!AQ27),"", Overall!AQ27)</f>
        <v/>
      </c>
      <c r="H27" s="3" t="str">
        <f>IF(ISBLANK(Overall!AR27),"", Overall!AR27)</f>
        <v/>
      </c>
    </row>
    <row r="28" spans="1:8" ht="12.75" customHeight="1" x14ac:dyDescent="0.25">
      <c r="A28" s="88"/>
      <c r="B28" s="3" t="str">
        <f>IF(ISBLANK(Overall!AL28),"", Overall!AL28)</f>
        <v/>
      </c>
      <c r="C28" s="3" t="str">
        <f>IF(ISBLANK(Overall!AM28),"", Overall!AM28)</f>
        <v/>
      </c>
      <c r="D28" s="3" t="str">
        <f>IF(ISBLANK(Overall!AN28),"", Overall!AN28)</f>
        <v/>
      </c>
      <c r="E28" s="3" t="str">
        <f>IF(ISBLANK(Overall!AO28),"", Overall!AO28)</f>
        <v/>
      </c>
      <c r="F28" s="3" t="str">
        <f>IF(ISBLANK(Overall!AP28),"", Overall!AP28)</f>
        <v/>
      </c>
      <c r="G28" s="3" t="str">
        <f>IF(ISBLANK(Overall!AQ28),"", Overall!AQ28)</f>
        <v/>
      </c>
      <c r="H28" s="3" t="str">
        <f>IF(ISBLANK(Overall!AR28),"", Overall!AR28)</f>
        <v/>
      </c>
    </row>
    <row r="29" spans="1:8" ht="12.75" customHeight="1" x14ac:dyDescent="0.25">
      <c r="A29" s="88"/>
      <c r="B29" s="3" t="str">
        <f>IF(ISBLANK(Overall!AL29),"", Overall!AL29)</f>
        <v/>
      </c>
      <c r="C29" s="3" t="str">
        <f>IF(ISBLANK(Overall!AM29),"", Overall!AM29)</f>
        <v/>
      </c>
      <c r="D29" s="3" t="str">
        <f>IF(ISBLANK(Overall!AN29),"", Overall!AN29)</f>
        <v/>
      </c>
      <c r="E29" s="3" t="str">
        <f>IF(ISBLANK(Overall!AO29),"", Overall!AO29)</f>
        <v/>
      </c>
      <c r="F29" s="3" t="str">
        <f>IF(ISBLANK(Overall!AP29),"", Overall!AP29)</f>
        <v/>
      </c>
      <c r="G29" s="3" t="str">
        <f>IF(ISBLANK(Overall!AQ29),"", Overall!AQ29)</f>
        <v/>
      </c>
      <c r="H29" s="3" t="str">
        <f>IF(ISBLANK(Overall!AR29),"", Overall!AR29)</f>
        <v/>
      </c>
    </row>
    <row r="30" spans="1:8" ht="12.75" customHeight="1" x14ac:dyDescent="0.25">
      <c r="A30" s="88"/>
      <c r="B30" s="3" t="str">
        <f>IF(ISBLANK(Overall!AL30),"", Overall!AL30)</f>
        <v/>
      </c>
      <c r="C30" s="3" t="str">
        <f>IF(ISBLANK(Overall!AM30),"", Overall!AM30)</f>
        <v/>
      </c>
      <c r="D30" s="3" t="str">
        <f>IF(ISBLANK(Overall!AN30),"", Overall!AN30)</f>
        <v/>
      </c>
      <c r="E30" s="3" t="str">
        <f>IF(ISBLANK(Overall!AO30),"", Overall!AO30)</f>
        <v/>
      </c>
      <c r="F30" s="3" t="str">
        <f>IF(ISBLANK(Overall!AP30),"", Overall!AP30)</f>
        <v/>
      </c>
      <c r="G30" s="3" t="str">
        <f>IF(ISBLANK(Overall!AQ30),"", Overall!AQ30)</f>
        <v/>
      </c>
      <c r="H30" s="3" t="str">
        <f>IF(ISBLANK(Overall!AR30),"", Overall!AR30)</f>
        <v/>
      </c>
    </row>
    <row r="31" spans="1:8" ht="12.75" customHeight="1" x14ac:dyDescent="0.25">
      <c r="A31" s="9"/>
      <c r="B31" s="2"/>
      <c r="C31" s="2"/>
      <c r="D31" s="2"/>
      <c r="E31" s="2"/>
      <c r="F31" s="2"/>
      <c r="G31" s="2"/>
      <c r="H31" s="2"/>
    </row>
    <row r="32" spans="1:8" ht="28.9" customHeight="1" x14ac:dyDescent="0.25">
      <c r="A32" s="5" t="str">
        <f>Overall!A32</f>
        <v>Eligible Persons</v>
      </c>
      <c r="B32" s="93" t="str">
        <f>IF(ISBLANK(Overall!AL32),"", Overall!AL32)</f>
        <v>Reflected in Pennyrile ADD's report.</v>
      </c>
      <c r="C32" s="94"/>
      <c r="D32" s="94"/>
      <c r="E32" s="94"/>
      <c r="F32" s="94"/>
      <c r="G32" s="94"/>
      <c r="H32" s="95"/>
    </row>
    <row r="33" spans="1:8" x14ac:dyDescent="0.25">
      <c r="A33" s="5" t="str">
        <f>Overall!A33</f>
        <v># Persons Served</v>
      </c>
      <c r="B33" s="96"/>
      <c r="C33" s="97"/>
      <c r="D33" s="97"/>
      <c r="E33" s="97"/>
      <c r="F33" s="97"/>
      <c r="G33" s="97"/>
      <c r="H33" s="98"/>
    </row>
    <row r="34" spans="1:8" x14ac:dyDescent="0.25">
      <c r="A34" s="5" t="str">
        <f>Overall!A34</f>
        <v># People on Waiting List</v>
      </c>
      <c r="B34" s="99"/>
      <c r="C34" s="100"/>
      <c r="D34" s="100"/>
      <c r="E34" s="100"/>
      <c r="F34" s="100"/>
      <c r="G34" s="100"/>
      <c r="H34" s="101"/>
    </row>
    <row r="35" spans="1:8" x14ac:dyDescent="0.25">
      <c r="B35" s="2"/>
      <c r="C35" s="2"/>
      <c r="D35" s="2"/>
      <c r="E35" s="2"/>
      <c r="F35" s="2"/>
      <c r="G35" s="2"/>
      <c r="H35" s="2"/>
    </row>
    <row r="36" spans="1:8" ht="30" x14ac:dyDescent="0.25">
      <c r="A36" s="7" t="str">
        <f>Overall!A36</f>
        <v>Performance Measures</v>
      </c>
      <c r="B36" s="3" t="str">
        <f>IF(ISBLANK(Overall!AL36),"", Overall!AL36)</f>
        <v>See Master Performance Measure Binder</v>
      </c>
      <c r="C36" s="3" t="str">
        <f>IF(ISBLANK(Overall!AM36),"", Overall!AM36)</f>
        <v>See Master Performance Measure Binder</v>
      </c>
      <c r="D36" s="3" t="str">
        <f>IF(ISBLANK(Overall!AN36),"", Overall!AN36)</f>
        <v>See Master Performance Measure Binder</v>
      </c>
      <c r="E36" s="3" t="str">
        <f>IF(ISBLANK(Overall!AO36),"", Overall!AO36)</f>
        <v>See Master Performance Measure Binder</v>
      </c>
      <c r="F36" s="3" t="str">
        <f>IF(ISBLANK(Overall!AP36),"", Overall!AP36)</f>
        <v>See Master Performance Measure Binder</v>
      </c>
      <c r="G36" s="3" t="str">
        <f>IF(ISBLANK(Overall!AQ36),"", Overall!AQ36)</f>
        <v>See Master Performance Measure Binder</v>
      </c>
      <c r="H36" s="3" t="str">
        <f>IF(ISBLANK(Overall!AR36),"", Overall!AR36)</f>
        <v>See Master Performance Measure Binder</v>
      </c>
    </row>
  </sheetData>
  <mergeCells count="4">
    <mergeCell ref="A18:A22"/>
    <mergeCell ref="A26:A30"/>
    <mergeCell ref="B16:H16"/>
    <mergeCell ref="B32:H34"/>
  </mergeCells>
  <pageMargins left="0.25" right="0.25" top="0.75" bottom="0.75" header="0.3" footer="0.3"/>
  <pageSetup scale="80" fitToWidth="0" orientation="landscape" r:id="rId1"/>
  <headerFooter>
    <oddHeader xml:space="preserve">&amp;CPurchase Area Development District
Workforce Investment and Opportunity Act Funds
FY 2024
</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
  <sheetViews>
    <sheetView tabSelected="1" view="pageLayout" topLeftCell="A3" zoomScaleNormal="100" workbookViewId="0">
      <selection activeCell="I8" sqref="I8"/>
    </sheetView>
  </sheetViews>
  <sheetFormatPr defaultColWidth="8.7109375" defaultRowHeight="15" x14ac:dyDescent="0.25"/>
  <cols>
    <col min="1" max="1" width="39.42578125" bestFit="1" customWidth="1"/>
    <col min="2" max="2" width="2.42578125" customWidth="1"/>
    <col min="3" max="3" width="15" bestFit="1" customWidth="1"/>
    <col min="4" max="4" width="2.42578125" customWidth="1"/>
    <col min="5" max="5" width="67.5703125" bestFit="1" customWidth="1"/>
    <col min="11" max="11" width="7.28515625" customWidth="1"/>
  </cols>
  <sheetData>
    <row r="1" spans="1:11" x14ac:dyDescent="0.25">
      <c r="A1" s="102" t="s">
        <v>43</v>
      </c>
      <c r="B1" s="102"/>
      <c r="C1" s="102"/>
      <c r="D1" s="102"/>
      <c r="E1" s="102"/>
    </row>
    <row r="3" spans="1:11" x14ac:dyDescent="0.25">
      <c r="A3" s="12" t="s">
        <v>150</v>
      </c>
      <c r="B3" s="12"/>
      <c r="C3" s="37"/>
      <c r="D3" s="37"/>
    </row>
    <row r="5" spans="1:11" x14ac:dyDescent="0.25">
      <c r="A5" s="12" t="s">
        <v>29</v>
      </c>
      <c r="B5" s="12"/>
      <c r="C5" s="12" t="s">
        <v>32</v>
      </c>
      <c r="D5" s="12"/>
      <c r="E5" s="12" t="s">
        <v>31</v>
      </c>
    </row>
    <row r="6" spans="1:11" ht="45" x14ac:dyDescent="0.25">
      <c r="A6" s="15" t="s">
        <v>30</v>
      </c>
      <c r="B6" s="15"/>
      <c r="C6" s="38">
        <v>159503</v>
      </c>
      <c r="D6" s="39"/>
      <c r="E6" s="40" t="s">
        <v>82</v>
      </c>
    </row>
    <row r="7" spans="1:11" ht="45" x14ac:dyDescent="0.25">
      <c r="A7" s="23" t="s">
        <v>27</v>
      </c>
      <c r="B7" s="16"/>
      <c r="C7" s="38">
        <v>-36094</v>
      </c>
      <c r="D7" s="41"/>
      <c r="E7" s="40" t="s">
        <v>83</v>
      </c>
    </row>
    <row r="8" spans="1:11" ht="45" x14ac:dyDescent="0.25">
      <c r="A8" s="15" t="s">
        <v>77</v>
      </c>
      <c r="B8" s="16"/>
      <c r="C8" s="38">
        <v>27405</v>
      </c>
      <c r="D8" s="41"/>
      <c r="E8" s="40" t="s">
        <v>84</v>
      </c>
      <c r="F8" s="1"/>
      <c r="G8" s="1"/>
      <c r="H8" s="1"/>
      <c r="I8" s="1"/>
      <c r="J8" s="1"/>
      <c r="K8" s="1"/>
    </row>
    <row r="9" spans="1:11" ht="45" x14ac:dyDescent="0.25">
      <c r="A9" s="15" t="s">
        <v>78</v>
      </c>
      <c r="B9" s="16"/>
      <c r="C9" s="38">
        <v>-27471</v>
      </c>
      <c r="D9" s="41"/>
      <c r="E9" s="42" t="s">
        <v>85</v>
      </c>
      <c r="F9" s="1"/>
      <c r="G9" s="1"/>
      <c r="H9" s="1"/>
      <c r="I9" s="1"/>
      <c r="J9" s="1"/>
      <c r="K9" s="1"/>
    </row>
    <row r="10" spans="1:11" ht="30" x14ac:dyDescent="0.25">
      <c r="A10" s="24" t="s">
        <v>79</v>
      </c>
      <c r="B10" s="16"/>
      <c r="C10" s="38">
        <v>415343</v>
      </c>
      <c r="D10" s="41"/>
      <c r="E10" s="40" t="s">
        <v>86</v>
      </c>
    </row>
    <row r="11" spans="1:11" ht="30" x14ac:dyDescent="0.25">
      <c r="A11" s="24" t="s">
        <v>80</v>
      </c>
      <c r="B11" s="16"/>
      <c r="C11" s="38">
        <v>-19027</v>
      </c>
      <c r="D11" s="41"/>
      <c r="E11" s="15" t="s">
        <v>87</v>
      </c>
    </row>
    <row r="12" spans="1:11" ht="45" x14ac:dyDescent="0.25">
      <c r="A12" s="7" t="s">
        <v>81</v>
      </c>
      <c r="C12" s="26">
        <v>-1128798</v>
      </c>
      <c r="D12" s="43"/>
      <c r="E12" s="5" t="s">
        <v>88</v>
      </c>
    </row>
    <row r="13" spans="1:11" ht="45" x14ac:dyDescent="0.25">
      <c r="A13" s="7" t="s">
        <v>121</v>
      </c>
      <c r="C13" s="26">
        <v>-2029682</v>
      </c>
      <c r="D13" s="13"/>
      <c r="E13" s="5" t="s">
        <v>122</v>
      </c>
    </row>
    <row r="14" spans="1:11" ht="15.75" thickBot="1" x14ac:dyDescent="0.3">
      <c r="C14" s="14">
        <f>SUM(C6:C13)</f>
        <v>-2638821</v>
      </c>
      <c r="D14" s="13"/>
    </row>
    <row r="15" spans="1:11" ht="15.75" thickTop="1" x14ac:dyDescent="0.25"/>
    <row r="16" spans="1:11" x14ac:dyDescent="0.25">
      <c r="A16" s="37"/>
    </row>
  </sheetData>
  <mergeCells count="1">
    <mergeCell ref="A1:E1"/>
  </mergeCells>
  <pageMargins left="0.7" right="0.7" top="0.75" bottom="0.75" header="0.3" footer="0.3"/>
  <pageSetup scale="96"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
  <sheetViews>
    <sheetView workbookViewId="0">
      <selection activeCell="H25" sqref="H25"/>
    </sheetView>
  </sheetViews>
  <sheetFormatPr defaultRowHeight="15" x14ac:dyDescent="0.25"/>
  <cols>
    <col min="1" max="1" width="12.140625" bestFit="1" customWidth="1"/>
  </cols>
  <sheetData>
    <row r="1" spans="1:10" ht="18.75" x14ac:dyDescent="0.3">
      <c r="A1" s="103" t="s">
        <v>43</v>
      </c>
      <c r="B1" s="103"/>
      <c r="C1" s="103"/>
      <c r="D1" s="103"/>
      <c r="E1" s="103"/>
      <c r="F1" s="103"/>
      <c r="G1" s="103"/>
      <c r="H1" s="103"/>
      <c r="I1" s="103"/>
      <c r="J1" s="103"/>
    </row>
    <row r="2" spans="1:10" ht="18.75" x14ac:dyDescent="0.3">
      <c r="A2" s="103" t="s">
        <v>90</v>
      </c>
      <c r="B2" s="103"/>
      <c r="C2" s="103"/>
      <c r="D2" s="103"/>
      <c r="E2" s="103"/>
      <c r="F2" s="103"/>
      <c r="G2" s="103"/>
      <c r="H2" s="103"/>
      <c r="I2" s="103"/>
      <c r="J2" s="103"/>
    </row>
    <row r="4" spans="1:10" x14ac:dyDescent="0.25">
      <c r="A4" t="s">
        <v>12</v>
      </c>
      <c r="B4" t="s">
        <v>91</v>
      </c>
    </row>
    <row r="5" spans="1:10" x14ac:dyDescent="0.25">
      <c r="A5" t="s">
        <v>13</v>
      </c>
      <c r="B5" t="s">
        <v>92</v>
      </c>
    </row>
    <row r="6" spans="1:10" x14ac:dyDescent="0.25">
      <c r="A6" t="s">
        <v>14</v>
      </c>
      <c r="B6" t="s">
        <v>93</v>
      </c>
    </row>
    <row r="7" spans="1:10" x14ac:dyDescent="0.25">
      <c r="A7" t="s">
        <v>44</v>
      </c>
      <c r="B7" t="s">
        <v>94</v>
      </c>
    </row>
    <row r="8" spans="1:10" x14ac:dyDescent="0.25">
      <c r="A8" t="s">
        <v>15</v>
      </c>
      <c r="B8" t="s">
        <v>95</v>
      </c>
    </row>
    <row r="9" spans="1:10" x14ac:dyDescent="0.25">
      <c r="A9" t="s">
        <v>96</v>
      </c>
      <c r="B9" t="s">
        <v>97</v>
      </c>
    </row>
    <row r="10" spans="1:10" x14ac:dyDescent="0.25">
      <c r="A10" t="s">
        <v>17</v>
      </c>
      <c r="B10" t="s">
        <v>98</v>
      </c>
    </row>
    <row r="11" spans="1:10" x14ac:dyDescent="0.25">
      <c r="A11" t="s">
        <v>18</v>
      </c>
      <c r="B11" t="s">
        <v>99</v>
      </c>
    </row>
    <row r="12" spans="1:10" x14ac:dyDescent="0.25">
      <c r="A12" t="s">
        <v>21</v>
      </c>
      <c r="B12" t="s">
        <v>100</v>
      </c>
    </row>
    <row r="13" spans="1:10" x14ac:dyDescent="0.25">
      <c r="A13" t="s">
        <v>24</v>
      </c>
      <c r="B13" t="s">
        <v>101</v>
      </c>
    </row>
    <row r="14" spans="1:10" x14ac:dyDescent="0.25">
      <c r="A14" t="s">
        <v>102</v>
      </c>
      <c r="B14" t="s">
        <v>103</v>
      </c>
    </row>
    <row r="15" spans="1:10" x14ac:dyDescent="0.25">
      <c r="A15" t="s">
        <v>104</v>
      </c>
      <c r="B15" t="s">
        <v>105</v>
      </c>
    </row>
    <row r="16" spans="1:10" x14ac:dyDescent="0.25">
      <c r="A16" t="s">
        <v>106</v>
      </c>
      <c r="B16" t="s">
        <v>107</v>
      </c>
    </row>
    <row r="17" spans="1:2" x14ac:dyDescent="0.25">
      <c r="A17" t="s">
        <v>108</v>
      </c>
      <c r="B17" t="s">
        <v>109</v>
      </c>
    </row>
    <row r="18" spans="1:2" x14ac:dyDescent="0.25">
      <c r="A18" t="s">
        <v>110</v>
      </c>
      <c r="B18" t="s">
        <v>111</v>
      </c>
    </row>
    <row r="19" spans="1:2" x14ac:dyDescent="0.25">
      <c r="A19" t="s">
        <v>112</v>
      </c>
      <c r="B19" t="s">
        <v>113</v>
      </c>
    </row>
    <row r="20" spans="1:2" x14ac:dyDescent="0.25">
      <c r="A20" t="s">
        <v>114</v>
      </c>
      <c r="B20" t="s">
        <v>115</v>
      </c>
    </row>
  </sheetData>
  <mergeCells count="2">
    <mergeCell ref="A1:J1"/>
    <mergeCell ref="A2:J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Overall</vt:lpstr>
      <vt:lpstr>Aging</vt:lpstr>
      <vt:lpstr>Workforce</vt:lpstr>
      <vt:lpstr>Carryover (Reserves)</vt:lpstr>
      <vt:lpstr>Glossary</vt:lpstr>
      <vt:lpstr>Overall!Print_Area</vt:lpstr>
      <vt:lpstr>Aging!Print_Titles</vt:lpstr>
      <vt:lpstr>Overall!Print_Titles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Alisha</dc:creator>
  <cp:lastModifiedBy>Coy, Janine (LRC)</cp:lastModifiedBy>
  <cp:lastPrinted>2020-12-30T20:05:04Z</cp:lastPrinted>
  <dcterms:created xsi:type="dcterms:W3CDTF">2017-11-26T03:23:39Z</dcterms:created>
  <dcterms:modified xsi:type="dcterms:W3CDTF">2025-01-02T13:58:36Z</dcterms:modified>
</cp:coreProperties>
</file>